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Preço" sheetId="1" state="visible" r:id="rId3"/>
    <sheet name="2. O erro do custo + 15%" sheetId="2" state="visible" r:id="rId4"/>
    <sheet name="3. Quanto custa o desconto" sheetId="3" state="visible" r:id="rId5"/>
    <sheet name="4. Política de desconto" sheetId="4" state="visible" r:id="rId6"/>
    <sheet name="5. Do custo ao preço" sheetId="5" state="visible" r:id="rId7"/>
    <sheet name="6. Preço mínimo" sheetId="6" state="visible" r:id="rId8"/>
    <sheet name="7. Seriado e canais" sheetId="7" state="visible" r:id="rId9"/>
    <sheet name="8. Atendimento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<sst xmlns="http://schemas.openxmlformats.org/spreadsheetml/2006/main" count="329" uniqueCount="270">
  <si>
    <t xml:space="preserve">Fábrica que Vende — Aula 2: a conta do preço</t>
  </si>
  <si>
    <t xml:space="preserve">Exemplo: Fábrica Aurora (empresa fictícia). Troque os campos amarelos pelos números da sua fábrica.</t>
  </si>
  <si>
    <t xml:space="preserve">Legenda: amarelo com número azul = você preenche. O resto é calculado.</t>
  </si>
  <si>
    <t xml:space="preserve">Entradas</t>
  </si>
  <si>
    <t xml:space="preserve">Valor</t>
  </si>
  <si>
    <t xml:space="preserve">Observação</t>
  </si>
  <si>
    <t xml:space="preserve">Custo fixo do mês</t>
  </si>
  <si>
    <t xml:space="preserve">Galpão, equipe, sistema, contador</t>
  </si>
  <si>
    <t xml:space="preserve">Pró-labore do mês</t>
  </si>
  <si>
    <t xml:space="preserve">Pró-labore é custo, não sobra</t>
  </si>
  <si>
    <t xml:space="preserve">Projetos VENDIDOS por mês</t>
  </si>
  <si>
    <t xml:space="preserve">O que vende, não a capacidade</t>
  </si>
  <si>
    <t xml:space="preserve">Custo variável por projeto</t>
  </si>
  <si>
    <t xml:space="preserve">Material, ferragem, frete, montagem</t>
  </si>
  <si>
    <t xml:space="preserve">Imposto sobre a venda</t>
  </si>
  <si>
    <t xml:space="preserve">% do preço</t>
  </si>
  <si>
    <t xml:space="preserve">Comissão e taxa de cartão</t>
  </si>
  <si>
    <t xml:space="preserve">Lucro desejado</t>
  </si>
  <si>
    <t xml:space="preserve">Cálculo</t>
  </si>
  <si>
    <t xml:space="preserve">Fórmula</t>
  </si>
  <si>
    <t xml:space="preserve">Fixo + pró-labore</t>
  </si>
  <si>
    <t xml:space="preserve">B6 + B7</t>
  </si>
  <si>
    <t xml:space="preserve">Parte do fixo e do pró-labore por projeto</t>
  </si>
  <si>
    <t xml:space="preserve">B15 ÷ projetos vendidos</t>
  </si>
  <si>
    <t xml:space="preserve">Custo total por projeto</t>
  </si>
  <si>
    <t xml:space="preserve">variável + parte do fixo</t>
  </si>
  <si>
    <t xml:space="preserve">Soma das porcentagens</t>
  </si>
  <si>
    <t xml:space="preserve">imposto + comissão + lucro</t>
  </si>
  <si>
    <t xml:space="preserve">Divisor</t>
  </si>
  <si>
    <t xml:space="preserve">1 − soma das porcentagens</t>
  </si>
  <si>
    <t xml:space="preserve">PREÇO</t>
  </si>
  <si>
    <t xml:space="preserve">custo total ÷ divisor</t>
  </si>
  <si>
    <t xml:space="preserve">Preço arredondado (centena acima)</t>
  </si>
  <si>
    <t xml:space="preserve">o valor usado no vídeo</t>
  </si>
  <si>
    <t xml:space="preserve">Conferência (preço arredondado)</t>
  </si>
  <si>
    <t xml:space="preserve">Preço</t>
  </si>
  <si>
    <t xml:space="preserve">(−) Imposto</t>
  </si>
  <si>
    <t xml:space="preserve">(−) Comissão e cartão</t>
  </si>
  <si>
    <t xml:space="preserve">(−) Custo total</t>
  </si>
  <si>
    <t xml:space="preserve">LUCRO</t>
  </si>
  <si>
    <t xml:space="preserve">E se vender menos? (mesmo preço)</t>
  </si>
  <si>
    <t xml:space="preserve">Lucro por projeto</t>
  </si>
  <si>
    <t xml:space="preserve">Vendendo 10 projetos no mês</t>
  </si>
  <si>
    <t xml:space="preserve">Vendendo 15 projetos no mês</t>
  </si>
  <si>
    <t xml:space="preserve">Vendendo 20 projetos no mês</t>
  </si>
  <si>
    <t xml:space="preserve">Vendendo 25 projetos no mês</t>
  </si>
  <si>
    <t xml:space="preserve">O erro do "custo + 15%"</t>
  </si>
  <si>
    <t xml:space="preserve">Somar 15% em cima do custo NÃO dá 15% de lucro: imposto e comissão saem do preço.</t>
  </si>
  <si>
    <t xml:space="preserve">vem da aba 1</t>
  </si>
  <si>
    <t xml:space="preserve">Margem colocada em cima do custo</t>
  </si>
  <si>
    <t xml:space="preserve">Preço (custo + margem)</t>
  </si>
  <si>
    <t xml:space="preserve">(−) Imposto + comissão e cartão</t>
  </si>
  <si>
    <t xml:space="preserve">% do preço, aba 1</t>
  </si>
  <si>
    <t xml:space="preserve">Sobra para pagar o custo</t>
  </si>
  <si>
    <t xml:space="preserve">RESULTADO por projeto</t>
  </si>
  <si>
    <t xml:space="preserve">negativo = prejuízo</t>
  </si>
  <si>
    <t xml:space="preserve">Margem real sobre o preço</t>
  </si>
  <si>
    <t xml:space="preserve">Quanto o desconto custa no lucro</t>
  </si>
  <si>
    <t xml:space="preserve">Imposto e comissão caem junto com o preço, mas o custo não cai.</t>
  </si>
  <si>
    <t xml:space="preserve">Preço cheio</t>
  </si>
  <si>
    <t xml:space="preserve">aba 1, arredondado</t>
  </si>
  <si>
    <t xml:space="preserve">Lucro com preço cheio</t>
  </si>
  <si>
    <t xml:space="preserve">aba 1</t>
  </si>
  <si>
    <t xml:space="preserve">Desconto</t>
  </si>
  <si>
    <t xml:space="preserve">Preço final</t>
  </si>
  <si>
    <t xml:space="preserve">Lucro</t>
  </si>
  <si>
    <t xml:space="preserve">Lucro perdido</t>
  </si>
  <si>
    <t xml:space="preserve">% do lucro perdido</t>
  </si>
  <si>
    <t xml:space="preserve">Política de desconto (modelo)</t>
  </si>
  <si>
    <t xml:space="preserve">Exemplo da Aurora. Escreva a da sua empresa: quem pode dar, quanto e em que situação.</t>
  </si>
  <si>
    <t xml:space="preserve">Situação</t>
  </si>
  <si>
    <t xml:space="preserve">Desconto máximo</t>
  </si>
  <si>
    <t xml:space="preserve">Quem aprova</t>
  </si>
  <si>
    <t xml:space="preserve">Pagamento à vista</t>
  </si>
  <si>
    <t xml:space="preserve">Vendedor</t>
  </si>
  <si>
    <t xml:space="preserve">Cliente que já comprou, compra específica</t>
  </si>
  <si>
    <t xml:space="preserve">Gerente comercial</t>
  </si>
  <si>
    <t xml:space="preserve">Item a mais na mesma venda</t>
  </si>
  <si>
    <t xml:space="preserve">Correção de erro nosso no orçamento</t>
  </si>
  <si>
    <t xml:space="preserve">o valor do erro</t>
  </si>
  <si>
    <t xml:space="preserve">Só porque o cliente pediu</t>
  </si>
  <si>
    <t xml:space="preserve">Ninguém</t>
  </si>
  <si>
    <t xml:space="preserve">Concorrente mais barato</t>
  </si>
  <si>
    <t xml:space="preserve">Cliente novo, primeira compra</t>
  </si>
  <si>
    <t xml:space="preserve">Do custo ao preço: imposto, comissão e lucro</t>
  </si>
  <si>
    <t xml:space="preserve">Imposto, comissão e lucro são % do PREÇO. Por isso: preço = custo ÷ (1 − soma das %).</t>
  </si>
  <si>
    <t xml:space="preserve">Porcentagens (sobre o preço)</t>
  </si>
  <si>
    <t xml:space="preserve">Imposto</t>
  </si>
  <si>
    <t xml:space="preserve">Divisor (1 − soma)</t>
  </si>
  <si>
    <t xml:space="preserve">A) Tenho o custo: qual preço cobrar?</t>
  </si>
  <si>
    <t xml:space="preserve">Custo do produto</t>
  </si>
  <si>
    <t xml:space="preserve">Comissão</t>
  </si>
  <si>
    <t xml:space="preserve">Conferência</t>
  </si>
  <si>
    <t xml:space="preserve">Conferência = custo + imposto + comissão + lucro, tem que dar o preço.</t>
  </si>
  <si>
    <t xml:space="preserve">B) Já tenho o preço: quanto sobra de lucro?</t>
  </si>
  <si>
    <t xml:space="preserve">Preço de venda</t>
  </si>
  <si>
    <t xml:space="preserve">Margem real</t>
  </si>
  <si>
    <t xml:space="preserve">Aqui o imposto e a comissão usam as % de cima; o lucro é o que sobra.</t>
  </si>
  <si>
    <t xml:space="preserve">Preço mínimo de cada produto</t>
  </si>
  <si>
    <t xml:space="preserve">Piso absoluto: abaixo dele, cada venda dá prejuízo. Piso de negociação: até onde o desconto pode ir sem passar do lucro mínimo.</t>
  </si>
  <si>
    <t xml:space="preserve">Legenda: amarelo com número azul = você preenche (até 5 produtos). O resto é calculado. Exemplo: Fábrica Aurora.</t>
  </si>
  <si>
    <t xml:space="preserve">Entradas da empresa</t>
  </si>
  <si>
    <t xml:space="preserve">Custo fixo + pró-labore do mês</t>
  </si>
  <si>
    <t xml:space="preserve">Tudo o que você paga vendendo ou não</t>
  </si>
  <si>
    <t xml:space="preserve">Lucro mínimo aceito</t>
  </si>
  <si>
    <t xml:space="preserve">% do preço, para o piso de negociação</t>
  </si>
  <si>
    <t xml:space="preserve">Produto</t>
  </si>
  <si>
    <t xml:space="preserve">Custo variável por unidade</t>
  </si>
  <si>
    <t xml:space="preserve">Vendidos por mês</t>
  </si>
  <si>
    <t xml:space="preserve">Preço atual</t>
  </si>
  <si>
    <t xml:space="preserve">Faturamento do mês</t>
  </si>
  <si>
    <t xml:space="preserve">Parte do faturamento</t>
  </si>
  <si>
    <t xml:space="preserve">Fixo por unidade</t>
  </si>
  <si>
    <t xml:space="preserve">Custo total por unidade</t>
  </si>
  <si>
    <t xml:space="preserve">Piso absoluto (lucro zero)</t>
  </si>
  <si>
    <t xml:space="preserve">Piso de negociação</t>
  </si>
  <si>
    <t xml:space="preserve">Desconto máximo sobre o preço atual</t>
  </si>
  <si>
    <t xml:space="preserve">Cozinha planejada</t>
  </si>
  <si>
    <t xml:space="preserve">Dormitório</t>
  </si>
  <si>
    <t xml:space="preserve">Home office</t>
  </si>
  <si>
    <t xml:space="preserve">Total</t>
  </si>
  <si>
    <t xml:space="preserve">Como a conta é feita:</t>
  </si>
  <si>
    <t xml:space="preserve">1. O custo fixo é dividido pela parte de cada produto no faturamento, e não pelo número de unidades. Assim o produto caro carrega mais fixo que o barato.</t>
  </si>
  <si>
    <t xml:space="preserve">2. Piso absoluto = custo total por unidade ÷ (1 − imposto − comissão). Paga tudo e o lucro é zero.</t>
  </si>
  <si>
    <t xml:space="preserve">3. Piso de negociação = custo total por unidade ÷ (1 − imposto − comissão − lucro mínimo). É o limite do desconto.</t>
  </si>
  <si>
    <t xml:space="preserve">4. Desconto máximo negativo quer dizer que o preço atual já está abaixo do piso de negociação.</t>
  </si>
  <si>
    <t xml:space="preserve">5. Use o que você VENDE por mês, não a capacidade da fábrica. Vendendo menos, os pisos sobem.</t>
  </si>
  <si>
    <t xml:space="preserve">6. Preço acima do mercado? As saídas honestas são cortar custo ou vender mais com a mesma estrutura.</t>
  </si>
  <si>
    <t xml:space="preserve">Fábrica que Vende — Aula 3B: o seriado, sem vendedor, em cada canal</t>
  </si>
  <si>
    <t xml:space="preserve">Exemplo: a linha de móveis seriados da Fábrica Aurora (empresa fictícia). Troque os campos amarelos pelos números da sua fábrica.</t>
  </si>
  <si>
    <t xml:space="preserve">Legenda: amarelo com número azul = você preenche. O resto é calculado. Custo fixo, pró-labore, projetos e imposto vêm da aba 1.</t>
  </si>
  <si>
    <t xml:space="preserve">1. A parte do custo fixo de cada produto</t>
  </si>
  <si>
    <t xml:space="preserve">Custo fixo novo da linha de seriados</t>
  </si>
  <si>
    <t xml:space="preserve">embalagem, expedição, atendimento do marketplace</t>
  </si>
  <si>
    <t xml:space="preserve">Horas de fábrica de 1 projeto</t>
  </si>
  <si>
    <t xml:space="preserve">Horas de fábrica da linha de seriados no mês</t>
  </si>
  <si>
    <t xml:space="preserve">o que vende, não a capacidade</t>
  </si>
  <si>
    <t xml:space="preserve">Horas de fábrica vendidas no mês</t>
  </si>
  <si>
    <t xml:space="preserve">projetos × horas + seriados</t>
  </si>
  <si>
    <t xml:space="preserve">Custo fixo por hora de fábrica</t>
  </si>
  <si>
    <t xml:space="preserve">fixo ÷ horas vendidas</t>
  </si>
  <si>
    <t xml:space="preserve">Custo fixo por hora (arredondado)</t>
  </si>
  <si>
    <t xml:space="preserve">o valor usado na aula</t>
  </si>
  <si>
    <t xml:space="preserve">Parte do fixo num projeto</t>
  </si>
  <si>
    <t xml:space="preserve">na aba 1, sem a linha de seriados, era o fixo ÷ projetos</t>
  </si>
  <si>
    <t xml:space="preserve">Custo variável</t>
  </si>
  <si>
    <t xml:space="preserve">Horas de fábrica</t>
  </si>
  <si>
    <t xml:space="preserve">Parte do fixo</t>
  </si>
  <si>
    <t xml:space="preserve">CUSTO CHEIO</t>
  </si>
  <si>
    <t xml:space="preserve">Rack Lino 180</t>
  </si>
  <si>
    <t xml:space="preserve">Painel Lino</t>
  </si>
  <si>
    <t xml:space="preserve">Nicho Lino com LED</t>
  </si>
  <si>
    <t xml:space="preserve">Custo cheio = variável + parte do fixo. É ele que entra no preço, mesmo que o seriado use o tempo ocioso hoje.</t>
  </si>
  <si>
    <t xml:space="preserve">2. Entradas dos canais</t>
  </si>
  <si>
    <t xml:space="preserve">Pagamento (cartão e tarifa da loja)</t>
  </si>
  <si>
    <t xml:space="preserve">% do preço, nos dois canais (exemplo)</t>
  </si>
  <si>
    <t xml:space="preserve">Marketing: % do preço do rack</t>
  </si>
  <si>
    <t xml:space="preserve">o orçamento para trazer cada comprador, em qualquer canal</t>
  </si>
  <si>
    <t xml:space="preserve">Comissão do marketplace</t>
  </si>
  <si>
    <t xml:space="preserve">é o marketing do marketplace. Exemplo: confira a tabela do seu</t>
  </si>
  <si>
    <t xml:space="preserve">Preço do rack (o mesmo em todo canal)</t>
  </si>
  <si>
    <t xml:space="preserve">Marketing do site por comprador (anúncio)</t>
  </si>
  <si>
    <t xml:space="preserve">o mesmo se ele levar só o rack ou o kit</t>
  </si>
  <si>
    <t xml:space="preserve">Frete que a fábrica paga quando é grátis</t>
  </si>
  <si>
    <t xml:space="preserve">frete é custo variável (Aula 2)</t>
  </si>
  <si>
    <t xml:space="preserve">Frete grátis acima de</t>
  </si>
  <si>
    <t xml:space="preserve">3. O rack, com o mesmo preço</t>
  </si>
  <si>
    <t xml:space="preserve">Seu site</t>
  </si>
  <si>
    <t xml:space="preserve">Marketplace</t>
  </si>
  <si>
    <t xml:space="preserve">(−) Pagamento</t>
  </si>
  <si>
    <t xml:space="preserve">(−) Custo cheio</t>
  </si>
  <si>
    <t xml:space="preserve">Sobra antes do marketing</t>
  </si>
  <si>
    <t xml:space="preserve">(−) Marketing</t>
  </si>
  <si>
    <t xml:space="preserve">site: o anúncio; marketplace: a comissão</t>
  </si>
  <si>
    <t xml:space="preserve">LUCRO NA 1ª VENDA</t>
  </si>
  <si>
    <t xml:space="preserve">Na recompra</t>
  </si>
  <si>
    <t xml:space="preserve">site: uma mensagem, sem anúncio; marketplace: outra comissão</t>
  </si>
  <si>
    <t xml:space="preserve">Duas compras do mesmo cliente</t>
  </si>
  <si>
    <t xml:space="preserve">Se um marketplace cobrar mais que o seu orçamento de marketing, ele deixa menos: decida se vale estar nele, sem mudar o preço.</t>
  </si>
  <si>
    <t xml:space="preserve">4. O kit no site</t>
  </si>
  <si>
    <t xml:space="preserve">Preço do painel avulso</t>
  </si>
  <si>
    <t xml:space="preserve">Desconto no preço do kit (R$)</t>
  </si>
  <si>
    <t xml:space="preserve">a Aurora não dá: o presente do kit é o frete grátis</t>
  </si>
  <si>
    <t xml:space="preserve">Preço do kit rack + painel</t>
  </si>
  <si>
    <t xml:space="preserve">Custo cheio do kit</t>
  </si>
  <si>
    <t xml:space="preserve">Frete que a fábrica paga no kit</t>
  </si>
  <si>
    <t xml:space="preserve">frete grátis também é custo</t>
  </si>
  <si>
    <t xml:space="preserve">Sobra do kit depois do marketing</t>
  </si>
  <si>
    <t xml:space="preserve">o mesmo anúncio traz o comprador</t>
  </si>
  <si>
    <t xml:space="preserve">Sobra do rack sozinho</t>
  </si>
  <si>
    <t xml:space="preserve">da parte 3</t>
  </si>
  <si>
    <t xml:space="preserve">O kit deixa mais que o rack sozinho?</t>
  </si>
  <si>
    <t xml:space="preserve">Teste: kit com R$ 90 de desconto + frete grátis</t>
  </si>
  <si>
    <t xml:space="preserve">desconto em cima de frete grátis é só desconto com outro nome</t>
  </si>
  <si>
    <t xml:space="preserve">5. O upsell: o nicho com LED</t>
  </si>
  <si>
    <t xml:space="preserve">Preço do nicho avulso</t>
  </si>
  <si>
    <t xml:space="preserve">Desconto junto com o rack</t>
  </si>
  <si>
    <t xml:space="preserve">só vale na mesma compra</t>
  </si>
  <si>
    <t xml:space="preserve">Preço do nicho no upsell</t>
  </si>
  <si>
    <t xml:space="preserve">Custo cheio do nicho</t>
  </si>
  <si>
    <t xml:space="preserve">da parte 1</t>
  </si>
  <si>
    <t xml:space="preserve">Piso do preço com desconto</t>
  </si>
  <si>
    <t xml:space="preserve">abaixo disso, cada upsell vendido é prejuízo</t>
  </si>
  <si>
    <t xml:space="preserve">O desconto respeita o piso?</t>
  </si>
  <si>
    <t xml:space="preserve">Sobra do nicho no upsell</t>
  </si>
  <si>
    <t xml:space="preserve">não paga marketing: quem trouxe o cliente foi o rack</t>
  </si>
  <si>
    <t xml:space="preserve">Frete que o upsell passa para a fábrica</t>
  </si>
  <si>
    <t xml:space="preserve">se o pedido passar da faixa de frete grátis</t>
  </si>
  <si>
    <t xml:space="preserve">Pedido rack + nicho</t>
  </si>
  <si>
    <t xml:space="preserve">Pedido kit + nicho</t>
  </si>
  <si>
    <t xml:space="preserve">o kit já tem frete grátis</t>
  </si>
  <si>
    <t xml:space="preserve">6. LTV: o lucro de todas as compras do cliente</t>
  </si>
  <si>
    <t xml:space="preserve">Compras por cliente, contando a primeira</t>
  </si>
  <si>
    <t xml:space="preserve">meça nas suas vendas. Aqui: a primeira e mais uma</t>
  </si>
  <si>
    <t xml:space="preserve">Lucro por compra, antes do marketing</t>
  </si>
  <si>
    <t xml:space="preserve">LTV (antes do marketing)</t>
  </si>
  <si>
    <t xml:space="preserve">Marketing pago por esse cliente</t>
  </si>
  <si>
    <t xml:space="preserve">site: uma vez; marketplace: em toda compra</t>
  </si>
  <si>
    <t xml:space="preserve">Sobra do cliente</t>
  </si>
  <si>
    <t xml:space="preserve">LTV ÷ custo de conquistar</t>
  </si>
  <si>
    <t xml:space="preserve">régua: pelo menos 3×. Abaixo disso, aumente o ticket ou a recompra</t>
  </si>
  <si>
    <t xml:space="preserve">Exemplo: produto de alta recorrência (não é a Aurora)</t>
  </si>
  <si>
    <t xml:space="preserve">Preço do produto</t>
  </si>
  <si>
    <t xml:space="preserve">Custo cheio</t>
  </si>
  <si>
    <t xml:space="preserve">Compras por ano</t>
  </si>
  <si>
    <t xml:space="preserve">LTV do ano (antes do marketing)</t>
  </si>
  <si>
    <t xml:space="preserve">Custo de conquistar no ano</t>
  </si>
  <si>
    <t xml:space="preserve">site: o anúncio, uma vez; marketplace: a comissão em toda compra</t>
  </si>
  <si>
    <t xml:space="preserve">Lucro na 1ª venda</t>
  </si>
  <si>
    <t xml:space="preserve">Sobra no ano</t>
  </si>
  <si>
    <t xml:space="preserve">Pouca recompra: a primeira venda paga o marketing. Alta recorrência: dá para pagar mais pela primeira, com a recompra medida.</t>
  </si>
  <si>
    <t xml:space="preserve">Fábrica que Vende — Aula 4: atendimento, do contato ao orçamento</t>
  </si>
  <si>
    <t xml:space="preserve">Legenda: amarelo com número azul = você preenche. O resto é calculado. O lucro por projeto vem da aba 1.</t>
  </si>
  <si>
    <t xml:space="preserve">1. A conta do atendimento</t>
  </si>
  <si>
    <t xml:space="preserve">Hoje</t>
  </si>
  <si>
    <t xml:space="preserve">Atendimento melhor</t>
  </si>
  <si>
    <t xml:space="preserve">Contatos por mês</t>
  </si>
  <si>
    <t xml:space="preserve">o mesmo marketing nos dois</t>
  </si>
  <si>
    <t xml:space="preserve">Chegam ao orçamento</t>
  </si>
  <si>
    <t xml:space="preserve">Aurora: 5 de cada 20 hoje; 7 de cada 20 com o atendimento melhor</t>
  </si>
  <si>
    <t xml:space="preserve">Orçamentos por mês</t>
  </si>
  <si>
    <t xml:space="preserve">Orçamentos que fecham</t>
  </si>
  <si>
    <t xml:space="preserve">o mesmo vendedor: 1 em cada 5 (Aula 3)</t>
  </si>
  <si>
    <t xml:space="preserve">Projetos por mês</t>
  </si>
  <si>
    <t xml:space="preserve">aba 1. Conta conservadora: com mais projetos, o fixo se divide por mais e o lucro por projeto sobe</t>
  </si>
  <si>
    <t xml:space="preserve">Lucro no mês</t>
  </si>
  <si>
    <t xml:space="preserve">Lucro a mais por mês, com o mesmo marketing</t>
  </si>
  <si>
    <t xml:space="preserve">2. A capacidade do atendimento</t>
  </si>
  <si>
    <t xml:space="preserve">Anúncio dobrado</t>
  </si>
  <si>
    <t xml:space="preserve">Minutos de atendimento por contato</t>
  </si>
  <si>
    <t xml:space="preserve">conversa, perguntas do diagnóstico e ficha</t>
  </si>
  <si>
    <t xml:space="preserve">Horas de atendimento no mês</t>
  </si>
  <si>
    <t xml:space="preserve">contatos × minutos ÷ 60</t>
  </si>
  <si>
    <t xml:space="preserve">Pessoas no atendimento</t>
  </si>
  <si>
    <t xml:space="preserve">Horas por dia de cada pessoa, só atendendo</t>
  </si>
  <si>
    <t xml:space="preserve">Dias úteis no mês</t>
  </si>
  <si>
    <t xml:space="preserve">Horas do time no mês</t>
  </si>
  <si>
    <t xml:space="preserve">Sobram (+) ou faltam (−) horas</t>
  </si>
  <si>
    <t xml:space="preserve">Cabe?</t>
  </si>
  <si>
    <t xml:space="preserve">se não cabe, arrume o atendimento antes de aumentar o marketing</t>
  </si>
  <si>
    <t xml:space="preserve">Contatos a mais que cabem (o teto, não a meta)</t>
  </si>
  <si>
    <t xml:space="preserve">horas que sobram × 60 ÷ minutos por contato; não trabalhe no limite</t>
  </si>
  <si>
    <t xml:space="preserve">3. O número do bloco (toda semana)</t>
  </si>
  <si>
    <t xml:space="preserve">Contatos</t>
  </si>
  <si>
    <t xml:space="preserve">Respondidos</t>
  </si>
  <si>
    <t xml:space="preserve">% respondidos</t>
  </si>
  <si>
    <t xml:space="preserve">1ª resposta (min, média)</t>
  </si>
  <si>
    <t xml:space="preserve">Sem próxima ação</t>
  </si>
  <si>
    <t xml:space="preserve">13/10 a 17/10 (exemplo)</t>
  </si>
  <si>
    <t xml:space="preserve">Os números saem do CRM. Meta da Aurora: responder em até 10 min no horário comercial, 100% respondidos e nenhum contato sem próxima ação.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</si>
</sst>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&quot;R$ &quot;#,##0;&quot;-R$ &quot;#,##0;\-"/>
    <numFmt numFmtId="166" formatCode="0"/>
    <numFmt numFmtId="167" formatCode="0.0%;\-0.0%;\-"/>
    <numFmt numFmtId="168" formatCode="0.00"/>
    <numFmt numFmtId="169" formatCode="&quot;R$ &quot;#,##0.00;&quot;-R$ &quot;#,##0.00;\-"/>
    <numFmt numFmtId="170" formatCode="0.0\×;\-0.0\×;\-"/>
    <numFmt numFmtId="171" formatCode="#,##0;\-#,##0;0"/>
    <numFmt numFmtId="172" formatCode="0%;\-0%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8000"/>
      <name val="Arial"/>
      <family val="0"/>
      <charset val="1"/>
    </font>
    <font>
      <sz val="11"/>
      <color rgb="FF55555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7B75"/>
        <bgColor rgb="FF008080"/>
      </patternFill>
    </fill>
    <fill>
      <patternFill patternType="solid">
        <fgColor rgb="FFFFF2B3"/>
        <bgColor rgb="FFFFFF99"/>
      </patternFill>
    </fill>
    <fill>
      <patternFill patternType="solid">
        <fgColor rgb="FFE3F2F1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B75"/>
      <rgbColor rgb="FFBBBBBB"/>
      <rgbColor rgb="FF808080"/>
      <rgbColor rgb="FF9999FF"/>
      <rgbColor rgb="FF993366"/>
      <rgbColor rgb="FFFFF2B3"/>
      <rgbColor rgb="FFE3F2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5" min="2" style="1" width="18"/>
  </cols>
  <sheetData>
    <row r="1" customFormat="false" ht="17.25" hidden="false" customHeight="true" outlineLevel="0" collapsed="false">
      <c r="A1" s="2" t="s">
        <v>0</v>
      </c>
      <c r="B1" s="3"/>
      <c r="C1" s="3"/>
    </row>
    <row r="2" customFormat="false" ht="15" hidden="false" customHeight="true" outlineLevel="0" collapsed="false">
      <c r="A2" s="4" t="s">
        <v>1</v>
      </c>
      <c r="B2" s="3"/>
      <c r="C2" s="3"/>
    </row>
    <row r="3" customFormat="false" ht="15" hidden="false" customHeight="true" outlineLevel="0" collapsed="false">
      <c r="A3" s="4" t="s">
        <v>2</v>
      </c>
      <c r="B3" s="3"/>
      <c r="C3" s="3"/>
    </row>
    <row r="4" customFormat="false" ht="15" hidden="false" customHeight="true" outlineLevel="0" collapsed="false">
      <c r="A4" s="3"/>
      <c r="B4" s="3"/>
      <c r="C4" s="3"/>
    </row>
    <row r="5" customFormat="false" ht="15" hidden="false" customHeight="true" outlineLevel="0" collapsed="false">
      <c r="A5" s="5" t="s">
        <v>3</v>
      </c>
      <c r="B5" s="6" t="s">
        <v>4</v>
      </c>
      <c r="C5" s="6" t="s">
        <v>5</v>
      </c>
    </row>
    <row r="6" customFormat="false" ht="15" hidden="false" customHeight="true" outlineLevel="0" collapsed="false">
      <c r="A6" s="7" t="s">
        <v>6</v>
      </c>
      <c r="B6" s="8" t="n">
        <v>60000</v>
      </c>
      <c r="C6" s="4" t="s">
        <v>7</v>
      </c>
    </row>
    <row r="7" customFormat="false" ht="15" hidden="false" customHeight="true" outlineLevel="0" collapsed="false">
      <c r="A7" s="7" t="s">
        <v>8</v>
      </c>
      <c r="B7" s="8" t="n">
        <v>20000</v>
      </c>
      <c r="C7" s="4" t="s">
        <v>9</v>
      </c>
    </row>
    <row r="8" customFormat="false" ht="15" hidden="false" customHeight="true" outlineLevel="0" collapsed="false">
      <c r="A8" s="7" t="s">
        <v>10</v>
      </c>
      <c r="B8" s="9" t="n">
        <v>20</v>
      </c>
      <c r="C8" s="4" t="s">
        <v>11</v>
      </c>
    </row>
    <row r="9" customFormat="false" ht="15" hidden="false" customHeight="true" outlineLevel="0" collapsed="false">
      <c r="A9" s="7" t="s">
        <v>12</v>
      </c>
      <c r="B9" s="8" t="n">
        <v>9000</v>
      </c>
      <c r="C9" s="4" t="s">
        <v>13</v>
      </c>
    </row>
    <row r="10" customFormat="false" ht="15" hidden="false" customHeight="true" outlineLevel="0" collapsed="false">
      <c r="A10" s="7" t="s">
        <v>14</v>
      </c>
      <c r="B10" s="10" t="n">
        <v>0.1</v>
      </c>
      <c r="C10" s="4" t="s">
        <v>15</v>
      </c>
    </row>
    <row r="11" customFormat="false" ht="15" hidden="false" customHeight="true" outlineLevel="0" collapsed="false">
      <c r="A11" s="7" t="s">
        <v>16</v>
      </c>
      <c r="B11" s="10" t="n">
        <v>0.05</v>
      </c>
      <c r="C11" s="4" t="s">
        <v>15</v>
      </c>
    </row>
    <row r="12" customFormat="false" ht="15" hidden="false" customHeight="true" outlineLevel="0" collapsed="false">
      <c r="A12" s="7" t="s">
        <v>17</v>
      </c>
      <c r="B12" s="10" t="n">
        <v>0.15</v>
      </c>
      <c r="C12" s="4" t="s">
        <v>15</v>
      </c>
    </row>
    <row r="13" customFormat="false" ht="15" hidden="false" customHeight="true" outlineLevel="0" collapsed="false">
      <c r="A13" s="3"/>
      <c r="B13" s="3"/>
      <c r="C13" s="3"/>
    </row>
    <row r="14" customFormat="false" ht="15" hidden="false" customHeight="true" outlineLevel="0" collapsed="false">
      <c r="A14" s="5" t="s">
        <v>18</v>
      </c>
      <c r="B14" s="6" t="s">
        <v>4</v>
      </c>
      <c r="C14" s="6" t="s">
        <v>19</v>
      </c>
    </row>
    <row r="15" customFormat="false" ht="15" hidden="false" customHeight="true" outlineLevel="0" collapsed="false">
      <c r="A15" s="7" t="s">
        <v>20</v>
      </c>
      <c r="B15" s="11" t="n">
        <f aca="false">B6+B7</f>
        <v>80000</v>
      </c>
      <c r="C15" s="4" t="s">
        <v>21</v>
      </c>
    </row>
    <row r="16" customFormat="false" ht="15" hidden="false" customHeight="true" outlineLevel="0" collapsed="false">
      <c r="A16" s="7" t="s">
        <v>22</v>
      </c>
      <c r="B16" s="11" t="n">
        <f aca="false">IF(B8&gt;0,B15/B8,0)</f>
        <v>4000</v>
      </c>
      <c r="C16" s="4" t="s">
        <v>23</v>
      </c>
    </row>
    <row r="17" customFormat="false" ht="15" hidden="false" customHeight="true" outlineLevel="0" collapsed="false">
      <c r="A17" s="7" t="s">
        <v>24</v>
      </c>
      <c r="B17" s="11" t="n">
        <f aca="false">B9+B16</f>
        <v>13000</v>
      </c>
      <c r="C17" s="4" t="s">
        <v>25</v>
      </c>
    </row>
    <row r="18" customFormat="false" ht="15" hidden="false" customHeight="true" outlineLevel="0" collapsed="false">
      <c r="A18" s="7" t="s">
        <v>26</v>
      </c>
      <c r="B18" s="12" t="n">
        <f aca="false">B10+B11+B12</f>
        <v>0.3</v>
      </c>
      <c r="C18" s="4" t="s">
        <v>27</v>
      </c>
    </row>
    <row r="19" customFormat="false" ht="15" hidden="false" customHeight="true" outlineLevel="0" collapsed="false">
      <c r="A19" s="7" t="s">
        <v>28</v>
      </c>
      <c r="B19" s="13" t="n">
        <f aca="false">1-B18</f>
        <v>0.7</v>
      </c>
      <c r="C19" s="4" t="s">
        <v>29</v>
      </c>
    </row>
    <row r="20" customFormat="false" ht="15" hidden="false" customHeight="true" outlineLevel="0" collapsed="false">
      <c r="A20" s="14" t="s">
        <v>30</v>
      </c>
      <c r="B20" s="15" t="n">
        <f aca="false">IF(B19&gt;0,B17/B19,0)</f>
        <v>18571.4285714286</v>
      </c>
      <c r="C20" s="4" t="s">
        <v>31</v>
      </c>
    </row>
    <row r="21" customFormat="false" ht="15" hidden="false" customHeight="true" outlineLevel="0" collapsed="false">
      <c r="A21" s="14" t="s">
        <v>32</v>
      </c>
      <c r="B21" s="15" t="n">
        <f aca="false">ROUNDUP(B20,-2)</f>
        <v>18600</v>
      </c>
      <c r="C21" s="4" t="s">
        <v>33</v>
      </c>
    </row>
    <row r="22" customFormat="false" ht="15" hidden="false" customHeight="true" outlineLevel="0" collapsed="false">
      <c r="A22" s="3"/>
      <c r="B22" s="3"/>
      <c r="C22" s="3"/>
    </row>
    <row r="23" customFormat="false" ht="15" hidden="false" customHeight="true" outlineLevel="0" collapsed="false">
      <c r="A23" s="5" t="s">
        <v>34</v>
      </c>
      <c r="B23" s="6" t="s">
        <v>4</v>
      </c>
      <c r="C23" s="6" t="s">
        <v>15</v>
      </c>
    </row>
    <row r="24" customFormat="false" ht="15" hidden="false" customHeight="true" outlineLevel="0" collapsed="false">
      <c r="A24" s="7" t="s">
        <v>35</v>
      </c>
      <c r="B24" s="11" t="n">
        <f aca="false">B21</f>
        <v>18600</v>
      </c>
      <c r="C24" s="16" t="n">
        <f aca="false">IF($B$21&gt;0,B24/$B$21,0)</f>
        <v>1</v>
      </c>
    </row>
    <row r="25" customFormat="false" ht="15" hidden="false" customHeight="true" outlineLevel="0" collapsed="false">
      <c r="A25" s="7" t="s">
        <v>36</v>
      </c>
      <c r="B25" s="11" t="n">
        <f aca="false">-B21*B10</f>
        <v>-1860</v>
      </c>
      <c r="C25" s="16" t="n">
        <f aca="false">IF($B$21&gt;0,B25/$B$21,0)</f>
        <v>-0.1</v>
      </c>
    </row>
    <row r="26" customFormat="false" ht="15" hidden="false" customHeight="true" outlineLevel="0" collapsed="false">
      <c r="A26" s="7" t="s">
        <v>37</v>
      </c>
      <c r="B26" s="11" t="n">
        <f aca="false">-B21*B11</f>
        <v>-930</v>
      </c>
      <c r="C26" s="16" t="n">
        <f aca="false">IF($B$21&gt;0,B26/$B$21,0)</f>
        <v>-0.05</v>
      </c>
    </row>
    <row r="27" customFormat="false" ht="15" hidden="false" customHeight="true" outlineLevel="0" collapsed="false">
      <c r="A27" s="7" t="s">
        <v>38</v>
      </c>
      <c r="B27" s="11" t="n">
        <f aca="false">-B17</f>
        <v>-13000</v>
      </c>
      <c r="C27" s="16" t="n">
        <f aca="false">IF($B$21&gt;0,B27/$B$21,0)</f>
        <v>-0.698924731182796</v>
      </c>
    </row>
    <row r="28" customFormat="false" ht="15" hidden="false" customHeight="true" outlineLevel="0" collapsed="false">
      <c r="A28" s="14" t="s">
        <v>39</v>
      </c>
      <c r="B28" s="15" t="n">
        <f aca="false">SUM(B24:B27)</f>
        <v>2810</v>
      </c>
      <c r="C28" s="17" t="n">
        <f aca="false">IF(B21&gt;0,B28/B21,0)</f>
        <v>0.151075268817204</v>
      </c>
    </row>
    <row r="29" customFormat="false" ht="15" hidden="false" customHeight="true" outlineLevel="0" collapsed="false">
      <c r="A29" s="3"/>
      <c r="B29" s="3"/>
      <c r="C29" s="3"/>
    </row>
    <row r="30" customFormat="false" ht="15" hidden="false" customHeight="true" outlineLevel="0" collapsed="false">
      <c r="A30" s="5" t="s">
        <v>40</v>
      </c>
      <c r="B30" s="6" t="s">
        <v>41</v>
      </c>
      <c r="C30" s="6" t="s">
        <v>15</v>
      </c>
    </row>
    <row r="31" customFormat="false" ht="15" hidden="false" customHeight="true" outlineLevel="0" collapsed="false">
      <c r="A31" s="7" t="s">
        <v>42</v>
      </c>
      <c r="B31" s="18" t="n">
        <f aca="false">$B$21*(1-$B$10-$B$11)-$B$9-$B$15/10</f>
        <v>-1190</v>
      </c>
      <c r="C31" s="16" t="n">
        <f aca="false">IF($B$21&gt;0,B31/$B$21,0)</f>
        <v>-0.0639784946236559</v>
      </c>
    </row>
    <row r="32" customFormat="false" ht="15" hidden="false" customHeight="true" outlineLevel="0" collapsed="false">
      <c r="A32" s="7" t="s">
        <v>43</v>
      </c>
      <c r="B32" s="18" t="n">
        <f aca="false">$B$21*(1-$B$10-$B$11)-$B$9-$B$15/15</f>
        <v>1476.66666666667</v>
      </c>
      <c r="C32" s="16" t="n">
        <f aca="false">IF($B$21&gt;0,B32/$B$21,0)</f>
        <v>0.0793906810035843</v>
      </c>
    </row>
    <row r="33" customFormat="false" ht="15" hidden="false" customHeight="true" outlineLevel="0" collapsed="false">
      <c r="A33" s="7" t="s">
        <v>44</v>
      </c>
      <c r="B33" s="18" t="n">
        <f aca="false">$B$21*(1-$B$10-$B$11)-$B$9-$B$15/20</f>
        <v>2810</v>
      </c>
      <c r="C33" s="16" t="n">
        <f aca="false">IF($B$21&gt;0,B33/$B$21,0)</f>
        <v>0.151075268817204</v>
      </c>
    </row>
    <row r="34" customFormat="false" ht="15" hidden="false" customHeight="true" outlineLevel="0" collapsed="false">
      <c r="A34" s="7" t="s">
        <v>45</v>
      </c>
      <c r="B34" s="18" t="n">
        <f aca="false">$B$21*(1-$B$10-$B$11)-$B$9-$B$15/25</f>
        <v>3610</v>
      </c>
      <c r="C34" s="16" t="n">
        <f aca="false">IF($B$21&gt;0,B34/$B$21,0)</f>
        <v>0.194086021505376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5" min="2" style="1" width="18"/>
  </cols>
  <sheetData>
    <row r="1" customFormat="false" ht="17.25" hidden="false" customHeight="true" outlineLevel="0" collapsed="false">
      <c r="A1" s="2" t="s">
        <v>46</v>
      </c>
      <c r="B1" s="3"/>
      <c r="C1" s="3"/>
    </row>
    <row r="2" customFormat="false" ht="15" hidden="false" customHeight="true" outlineLevel="0" collapsed="false">
      <c r="A2" s="4" t="s">
        <v>47</v>
      </c>
      <c r="B2" s="3"/>
      <c r="C2" s="3"/>
    </row>
    <row r="3" customFormat="false" ht="15" hidden="false" customHeight="true" outlineLevel="0" collapsed="false">
      <c r="A3" s="3"/>
      <c r="B3" s="3"/>
      <c r="C3" s="3"/>
    </row>
    <row r="4" customFormat="false" ht="15" hidden="false" customHeight="true" outlineLevel="0" collapsed="false">
      <c r="A4" s="5"/>
      <c r="B4" s="6" t="s">
        <v>4</v>
      </c>
      <c r="C4" s="6" t="s">
        <v>5</v>
      </c>
    </row>
    <row r="5" customFormat="false" ht="15" hidden="false" customHeight="true" outlineLevel="0" collapsed="false">
      <c r="A5" s="7" t="s">
        <v>24</v>
      </c>
      <c r="B5" s="19" t="n">
        <f aca="false">'1. Preço'!B17</f>
        <v>13000</v>
      </c>
      <c r="C5" s="4" t="s">
        <v>48</v>
      </c>
    </row>
    <row r="6" customFormat="false" ht="15" hidden="false" customHeight="true" outlineLevel="0" collapsed="false">
      <c r="A6" s="7" t="s">
        <v>49</v>
      </c>
      <c r="B6" s="10" t="n">
        <v>0.15</v>
      </c>
      <c r="C6" s="3"/>
    </row>
    <row r="7" customFormat="false" ht="15" hidden="false" customHeight="true" outlineLevel="0" collapsed="false">
      <c r="A7" s="7" t="s">
        <v>50</v>
      </c>
      <c r="B7" s="11" t="n">
        <f aca="false">B5*(1+B6)</f>
        <v>14950</v>
      </c>
      <c r="C7" s="3"/>
    </row>
    <row r="8" customFormat="false" ht="15" hidden="false" customHeight="true" outlineLevel="0" collapsed="false">
      <c r="A8" s="7" t="s">
        <v>51</v>
      </c>
      <c r="B8" s="11" t="n">
        <f aca="false">-B7*('1. Preço'!B10+'1. Preço'!B11)</f>
        <v>-2242.5</v>
      </c>
      <c r="C8" s="4" t="s">
        <v>52</v>
      </c>
    </row>
    <row r="9" customFormat="false" ht="15" hidden="false" customHeight="true" outlineLevel="0" collapsed="false">
      <c r="A9" s="7" t="s">
        <v>53</v>
      </c>
      <c r="B9" s="11" t="n">
        <f aca="false">B7+B8</f>
        <v>12707.5</v>
      </c>
      <c r="C9" s="3"/>
    </row>
    <row r="10" customFormat="false" ht="15" hidden="false" customHeight="true" outlineLevel="0" collapsed="false">
      <c r="A10" s="14" t="s">
        <v>54</v>
      </c>
      <c r="B10" s="15" t="n">
        <f aca="false">B9-B5</f>
        <v>-292.500000000002</v>
      </c>
      <c r="C10" s="4" t="s">
        <v>55</v>
      </c>
    </row>
    <row r="11" customFormat="false" ht="15" hidden="false" customHeight="true" outlineLevel="0" collapsed="false">
      <c r="A11" s="14" t="s">
        <v>56</v>
      </c>
      <c r="B11" s="20" t="n">
        <f aca="false">IF(B7&gt;0,B10/B7,0)</f>
        <v>-0.0195652173913045</v>
      </c>
      <c r="C11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5" min="2" style="1" width="18"/>
  </cols>
  <sheetData>
    <row r="1" customFormat="false" ht="17.25" hidden="false" customHeight="true" outlineLevel="0" collapsed="false">
      <c r="A1" s="2" t="s">
        <v>57</v>
      </c>
      <c r="B1" s="3"/>
      <c r="C1" s="3"/>
      <c r="D1" s="3"/>
      <c r="E1" s="3"/>
    </row>
    <row r="2" customFormat="false" ht="15" hidden="false" customHeight="true" outlineLevel="0" collapsed="false">
      <c r="A2" s="4" t="s">
        <v>58</v>
      </c>
      <c r="B2" s="3"/>
      <c r="C2" s="3"/>
      <c r="D2" s="3"/>
      <c r="E2" s="3"/>
    </row>
    <row r="3" customFormat="false" ht="15" hidden="false" customHeight="true" outlineLevel="0" collapsed="false">
      <c r="A3" s="3"/>
      <c r="B3" s="3"/>
      <c r="C3" s="3"/>
      <c r="D3" s="3"/>
      <c r="E3" s="3"/>
    </row>
    <row r="4" customFormat="false" ht="15" hidden="false" customHeight="true" outlineLevel="0" collapsed="false">
      <c r="A4" s="7" t="s">
        <v>59</v>
      </c>
      <c r="B4" s="19" t="n">
        <f aca="false">'1. Preço'!B21</f>
        <v>18600</v>
      </c>
      <c r="C4" s="4" t="s">
        <v>60</v>
      </c>
      <c r="D4" s="3"/>
      <c r="E4" s="3"/>
    </row>
    <row r="5" customFormat="false" ht="15" hidden="false" customHeight="true" outlineLevel="0" collapsed="false">
      <c r="A5" s="7" t="s">
        <v>61</v>
      </c>
      <c r="B5" s="19" t="n">
        <f aca="false">'1. Preço'!B28</f>
        <v>2810</v>
      </c>
      <c r="C5" s="4" t="s">
        <v>62</v>
      </c>
      <c r="D5" s="3"/>
      <c r="E5" s="3"/>
    </row>
    <row r="6" customFormat="false" ht="15" hidden="false" customHeight="true" outlineLevel="0" collapsed="false">
      <c r="A6" s="3"/>
      <c r="B6" s="3"/>
      <c r="C6" s="3"/>
      <c r="D6" s="3"/>
      <c r="E6" s="3"/>
    </row>
    <row r="7" customFormat="false" ht="15" hidden="false" customHeight="true" outlineLevel="0" collapsed="false">
      <c r="A7" s="5" t="s">
        <v>63</v>
      </c>
      <c r="B7" s="6" t="s">
        <v>64</v>
      </c>
      <c r="C7" s="6" t="s">
        <v>65</v>
      </c>
      <c r="D7" s="6" t="s">
        <v>66</v>
      </c>
      <c r="E7" s="6" t="s">
        <v>67</v>
      </c>
    </row>
    <row r="8" customFormat="false" ht="15" hidden="false" customHeight="true" outlineLevel="0" collapsed="false">
      <c r="A8" s="21" t="n">
        <v>0</v>
      </c>
      <c r="B8" s="18" t="n">
        <f aca="false">$B$4*(1-A8)</f>
        <v>18600</v>
      </c>
      <c r="C8" s="18" t="n">
        <f aca="false">B8*(1-'1. Preço'!$B$10-'1. Preço'!$B$11)-'1. Preço'!$B$17</f>
        <v>2810</v>
      </c>
      <c r="D8" s="18" t="n">
        <f aca="false">$B$5-C8</f>
        <v>0</v>
      </c>
      <c r="E8" s="16" t="n">
        <f aca="false">IF($B$5&lt;&gt;0,D8/$B$5,0)</f>
        <v>0</v>
      </c>
    </row>
    <row r="9" customFormat="false" ht="15" hidden="false" customHeight="true" outlineLevel="0" collapsed="false">
      <c r="A9" s="21" t="n">
        <v>0.03</v>
      </c>
      <c r="B9" s="18" t="n">
        <f aca="false">$B$4*(1-A9)</f>
        <v>18042</v>
      </c>
      <c r="C9" s="18" t="n">
        <f aca="false">B9*(1-'1. Preço'!$B$10-'1. Preço'!$B$11)-'1. Preço'!$B$17</f>
        <v>2335.7</v>
      </c>
      <c r="D9" s="18" t="n">
        <f aca="false">$B$5-C9</f>
        <v>474.300000000001</v>
      </c>
      <c r="E9" s="16" t="n">
        <f aca="false">IF($B$5&lt;&gt;0,D9/$B$5,0)</f>
        <v>0.168790035587189</v>
      </c>
    </row>
    <row r="10" customFormat="false" ht="15" hidden="false" customHeight="true" outlineLevel="0" collapsed="false">
      <c r="A10" s="21" t="n">
        <v>0.05</v>
      </c>
      <c r="B10" s="18" t="n">
        <f aca="false">$B$4*(1-A10)</f>
        <v>17670</v>
      </c>
      <c r="C10" s="18" t="n">
        <f aca="false">B10*(1-'1. Preço'!$B$10-'1. Preço'!$B$11)-'1. Preço'!$B$17</f>
        <v>2019.5</v>
      </c>
      <c r="D10" s="18" t="n">
        <f aca="false">$B$5-C10</f>
        <v>790.5</v>
      </c>
      <c r="E10" s="16" t="n">
        <f aca="false">IF($B$5&lt;&gt;0,D10/$B$5,0)</f>
        <v>0.281316725978648</v>
      </c>
    </row>
    <row r="11" customFormat="false" ht="15" hidden="false" customHeight="true" outlineLevel="0" collapsed="false">
      <c r="A11" s="21" t="n">
        <v>0.1</v>
      </c>
      <c r="B11" s="18" t="n">
        <f aca="false">$B$4*(1-A11)</f>
        <v>16740</v>
      </c>
      <c r="C11" s="18" t="n">
        <f aca="false">B11*(1-'1. Preço'!$B$10-'1. Preço'!$B$11)-'1. Preço'!$B$17</f>
        <v>1229</v>
      </c>
      <c r="D11" s="18" t="n">
        <f aca="false">$B$5-C11</f>
        <v>1581</v>
      </c>
      <c r="E11" s="16" t="n">
        <f aca="false">IF($B$5&lt;&gt;0,D11/$B$5,0)</f>
        <v>0.562633451957295</v>
      </c>
    </row>
    <row r="12" customFormat="false" ht="15" hidden="false" customHeight="true" outlineLevel="0" collapsed="false">
      <c r="A12" s="21" t="n">
        <v>0.15</v>
      </c>
      <c r="B12" s="18" t="n">
        <f aca="false">$B$4*(1-A12)</f>
        <v>15810</v>
      </c>
      <c r="C12" s="18" t="n">
        <f aca="false">B12*(1-'1. Preço'!$B$10-'1. Preço'!$B$11)-'1. Preço'!$B$17</f>
        <v>438.5</v>
      </c>
      <c r="D12" s="18" t="n">
        <f aca="false">$B$5-C12</f>
        <v>2371.5</v>
      </c>
      <c r="E12" s="16" t="n">
        <f aca="false">IF($B$5&lt;&gt;0,D12/$B$5,0)</f>
        <v>0.843950177935943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6"/>
    <col collapsed="false" customWidth="true" hidden="false" outlineLevel="0" max="3" min="3" style="1" width="22"/>
    <col collapsed="false" customWidth="true" hidden="false" outlineLevel="0" max="5" min="4" style="1" width="18"/>
  </cols>
  <sheetData>
    <row r="1" customFormat="false" ht="17.25" hidden="false" customHeight="true" outlineLevel="0" collapsed="false">
      <c r="A1" s="2" t="s">
        <v>68</v>
      </c>
      <c r="B1" s="3"/>
      <c r="C1" s="3"/>
    </row>
    <row r="2" customFormat="false" ht="15" hidden="false" customHeight="true" outlineLevel="0" collapsed="false">
      <c r="A2" s="4" t="s">
        <v>69</v>
      </c>
      <c r="B2" s="3"/>
      <c r="C2" s="3"/>
    </row>
    <row r="3" customFormat="false" ht="15" hidden="false" customHeight="true" outlineLevel="0" collapsed="false">
      <c r="A3" s="3"/>
      <c r="B3" s="3"/>
      <c r="C3" s="3"/>
    </row>
    <row r="4" customFormat="false" ht="15" hidden="false" customHeight="true" outlineLevel="0" collapsed="false">
      <c r="A4" s="5" t="s">
        <v>70</v>
      </c>
      <c r="B4" s="6" t="s">
        <v>71</v>
      </c>
      <c r="C4" s="6" t="s">
        <v>72</v>
      </c>
    </row>
    <row r="5" customFormat="false" ht="15" hidden="false" customHeight="true" outlineLevel="0" collapsed="false">
      <c r="A5" s="22" t="s">
        <v>73</v>
      </c>
      <c r="B5" s="10" t="n">
        <v>0.05</v>
      </c>
      <c r="C5" s="22" t="s">
        <v>74</v>
      </c>
    </row>
    <row r="6" customFormat="false" ht="15" hidden="false" customHeight="true" outlineLevel="0" collapsed="false">
      <c r="A6" s="22" t="s">
        <v>75</v>
      </c>
      <c r="B6" s="10" t="n">
        <v>0.05</v>
      </c>
      <c r="C6" s="22" t="s">
        <v>76</v>
      </c>
    </row>
    <row r="7" customFormat="false" ht="15" hidden="false" customHeight="true" outlineLevel="0" collapsed="false">
      <c r="A7" s="22" t="s">
        <v>77</v>
      </c>
      <c r="B7" s="10" t="n">
        <v>0.03</v>
      </c>
      <c r="C7" s="22" t="s">
        <v>74</v>
      </c>
    </row>
    <row r="8" customFormat="false" ht="15" hidden="false" customHeight="true" outlineLevel="0" collapsed="false">
      <c r="A8" s="22" t="s">
        <v>78</v>
      </c>
      <c r="B8" s="22" t="s">
        <v>79</v>
      </c>
      <c r="C8" s="22" t="s">
        <v>76</v>
      </c>
    </row>
    <row r="9" customFormat="false" ht="15" hidden="false" customHeight="true" outlineLevel="0" collapsed="false">
      <c r="A9" s="22" t="s">
        <v>80</v>
      </c>
      <c r="B9" s="10" t="n">
        <v>0</v>
      </c>
      <c r="C9" s="22" t="s">
        <v>81</v>
      </c>
    </row>
    <row r="10" customFormat="false" ht="15" hidden="false" customHeight="true" outlineLevel="0" collapsed="false">
      <c r="A10" s="22" t="s">
        <v>82</v>
      </c>
      <c r="B10" s="10" t="n">
        <v>0</v>
      </c>
      <c r="C10" s="22" t="s">
        <v>81</v>
      </c>
    </row>
    <row r="11" customFormat="false" ht="15" hidden="false" customHeight="true" outlineLevel="0" collapsed="false">
      <c r="A11" s="22" t="s">
        <v>83</v>
      </c>
      <c r="B11" s="10" t="n">
        <v>0</v>
      </c>
      <c r="C11" s="22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7" min="2" style="1" width="16"/>
  </cols>
  <sheetData>
    <row r="1" customFormat="false" ht="17.25" hidden="false" customHeight="true" outlineLevel="0" collapsed="false">
      <c r="A1" s="2" t="s">
        <v>84</v>
      </c>
      <c r="B1" s="3"/>
      <c r="C1" s="3"/>
      <c r="D1" s="3"/>
      <c r="E1" s="3"/>
      <c r="F1" s="3"/>
    </row>
    <row r="2" customFormat="false" ht="15" hidden="false" customHeight="true" outlineLevel="0" collapsed="false">
      <c r="A2" s="4" t="s">
        <v>85</v>
      </c>
      <c r="B2" s="3"/>
      <c r="C2" s="3"/>
      <c r="D2" s="3"/>
      <c r="E2" s="3"/>
      <c r="F2" s="3"/>
    </row>
    <row r="3" customFormat="false" ht="15" hidden="false" customHeight="true" outlineLevel="0" collapsed="false">
      <c r="A3" s="3"/>
      <c r="B3" s="3"/>
      <c r="C3" s="3"/>
      <c r="D3" s="3"/>
      <c r="E3" s="3"/>
      <c r="F3" s="3"/>
    </row>
    <row r="4" customFormat="false" ht="15" hidden="false" customHeight="true" outlineLevel="0" collapsed="false">
      <c r="A4" s="5" t="s">
        <v>86</v>
      </c>
      <c r="B4" s="6" t="s">
        <v>4</v>
      </c>
      <c r="C4" s="3"/>
      <c r="D4" s="3"/>
      <c r="E4" s="3"/>
      <c r="F4" s="3"/>
    </row>
    <row r="5" customFormat="false" ht="15" hidden="false" customHeight="true" outlineLevel="0" collapsed="false">
      <c r="A5" s="7" t="s">
        <v>87</v>
      </c>
      <c r="B5" s="10" t="n">
        <v>0.1</v>
      </c>
      <c r="C5" s="3"/>
      <c r="D5" s="3"/>
      <c r="E5" s="3"/>
      <c r="F5" s="3"/>
    </row>
    <row r="6" customFormat="false" ht="15" hidden="false" customHeight="true" outlineLevel="0" collapsed="false">
      <c r="A6" s="7" t="s">
        <v>16</v>
      </c>
      <c r="B6" s="10" t="n">
        <v>0.05</v>
      </c>
      <c r="C6" s="3"/>
      <c r="D6" s="3"/>
      <c r="E6" s="3"/>
      <c r="F6" s="3"/>
    </row>
    <row r="7" customFormat="false" ht="15" hidden="false" customHeight="true" outlineLevel="0" collapsed="false">
      <c r="A7" s="7" t="s">
        <v>17</v>
      </c>
      <c r="B7" s="10" t="n">
        <v>0.15</v>
      </c>
      <c r="C7" s="3"/>
      <c r="D7" s="3"/>
      <c r="E7" s="3"/>
      <c r="F7" s="3"/>
    </row>
    <row r="8" customFormat="false" ht="15" hidden="false" customHeight="true" outlineLevel="0" collapsed="false">
      <c r="A8" s="14" t="s">
        <v>88</v>
      </c>
      <c r="B8" s="23" t="n">
        <f aca="false">1-(B5+B6+B7)</f>
        <v>0.7</v>
      </c>
      <c r="C8" s="3"/>
      <c r="D8" s="3"/>
      <c r="E8" s="3"/>
      <c r="F8" s="3"/>
    </row>
    <row r="9" customFormat="false" ht="15" hidden="false" customHeight="true" outlineLevel="0" collapsed="false">
      <c r="A9" s="3"/>
      <c r="B9" s="3"/>
      <c r="C9" s="3"/>
      <c r="D9" s="3"/>
      <c r="E9" s="3"/>
      <c r="F9" s="3"/>
    </row>
    <row r="10" customFormat="false" ht="15" hidden="false" customHeight="true" outlineLevel="0" collapsed="false">
      <c r="A10" s="14" t="s">
        <v>89</v>
      </c>
      <c r="B10" s="3"/>
      <c r="C10" s="3"/>
      <c r="D10" s="3"/>
      <c r="E10" s="3"/>
      <c r="F10" s="3"/>
    </row>
    <row r="11" customFormat="false" ht="15" hidden="false" customHeight="true" outlineLevel="0" collapsed="false">
      <c r="A11" s="5" t="s">
        <v>90</v>
      </c>
      <c r="B11" s="6" t="s">
        <v>35</v>
      </c>
      <c r="C11" s="6" t="s">
        <v>87</v>
      </c>
      <c r="D11" s="6" t="s">
        <v>91</v>
      </c>
      <c r="E11" s="6" t="s">
        <v>65</v>
      </c>
      <c r="F11" s="6" t="s">
        <v>92</v>
      </c>
    </row>
    <row r="12" customFormat="false" ht="15" hidden="false" customHeight="true" outlineLevel="0" collapsed="false">
      <c r="A12" s="24" t="n">
        <v>500</v>
      </c>
      <c r="B12" s="18" t="n">
        <f aca="false">IF($B$8&gt;0,A12/$B$8,0)</f>
        <v>714.285714285714</v>
      </c>
      <c r="C12" s="18" t="n">
        <f aca="false">B12*$B$5</f>
        <v>71.4285714285714</v>
      </c>
      <c r="D12" s="18" t="n">
        <f aca="false">B12*$B$6</f>
        <v>35.7142857142857</v>
      </c>
      <c r="E12" s="18" t="n">
        <f aca="false">B12*$B$7</f>
        <v>107.142857142857</v>
      </c>
      <c r="F12" s="18" t="n">
        <f aca="false">A12+C12+D12+E12</f>
        <v>714.285714285714</v>
      </c>
    </row>
    <row r="13" customFormat="false" ht="15" hidden="false" customHeight="true" outlineLevel="0" collapsed="false">
      <c r="A13" s="24" t="n">
        <v>1000</v>
      </c>
      <c r="B13" s="18" t="n">
        <f aca="false">IF($B$8&gt;0,A13/$B$8,0)</f>
        <v>1428.57142857143</v>
      </c>
      <c r="C13" s="18" t="n">
        <f aca="false">B13*$B$5</f>
        <v>142.857142857143</v>
      </c>
      <c r="D13" s="18" t="n">
        <f aca="false">B13*$B$6</f>
        <v>71.4285714285714</v>
      </c>
      <c r="E13" s="18" t="n">
        <f aca="false">B13*$B$7</f>
        <v>214.285714285714</v>
      </c>
      <c r="F13" s="18" t="n">
        <f aca="false">A13+C13+D13+E13</f>
        <v>1428.57142857143</v>
      </c>
    </row>
    <row r="14" customFormat="false" ht="15" hidden="false" customHeight="true" outlineLevel="0" collapsed="false">
      <c r="A14" s="24" t="n">
        <v>2000</v>
      </c>
      <c r="B14" s="18" t="n">
        <f aca="false">IF($B$8&gt;0,A14/$B$8,0)</f>
        <v>2857.14285714286</v>
      </c>
      <c r="C14" s="18" t="n">
        <f aca="false">B14*$B$5</f>
        <v>285.714285714286</v>
      </c>
      <c r="D14" s="18" t="n">
        <f aca="false">B14*$B$6</f>
        <v>142.857142857143</v>
      </c>
      <c r="E14" s="18" t="n">
        <f aca="false">B14*$B$7</f>
        <v>428.571428571429</v>
      </c>
      <c r="F14" s="18" t="n">
        <f aca="false">A14+C14+D14+E14</f>
        <v>2857.14285714286</v>
      </c>
    </row>
    <row r="15" customFormat="false" ht="15" hidden="false" customHeight="true" outlineLevel="0" collapsed="false">
      <c r="A15" s="24" t="n">
        <v>5000</v>
      </c>
      <c r="B15" s="18" t="n">
        <f aca="false">IF($B$8&gt;0,A15/$B$8,0)</f>
        <v>7142.85714285714</v>
      </c>
      <c r="C15" s="18" t="n">
        <f aca="false">B15*$B$5</f>
        <v>714.285714285714</v>
      </c>
      <c r="D15" s="18" t="n">
        <f aca="false">B15*$B$6</f>
        <v>357.142857142857</v>
      </c>
      <c r="E15" s="18" t="n">
        <f aca="false">B15*$B$7</f>
        <v>1071.42857142857</v>
      </c>
      <c r="F15" s="18" t="n">
        <f aca="false">A15+C15+D15+E15</f>
        <v>7142.85714285714</v>
      </c>
    </row>
    <row r="16" customFormat="false" ht="15" hidden="false" customHeight="true" outlineLevel="0" collapsed="false">
      <c r="A16" s="24" t="n">
        <v>13000</v>
      </c>
      <c r="B16" s="18" t="n">
        <f aca="false">IF($B$8&gt;0,A16/$B$8,0)</f>
        <v>18571.4285714286</v>
      </c>
      <c r="C16" s="18" t="n">
        <f aca="false">B16*$B$5</f>
        <v>1857.14285714286</v>
      </c>
      <c r="D16" s="18" t="n">
        <f aca="false">B16*$B$6</f>
        <v>928.571428571429</v>
      </c>
      <c r="E16" s="18" t="n">
        <f aca="false">B16*$B$7</f>
        <v>2785.71428571429</v>
      </c>
      <c r="F16" s="18" t="n">
        <f aca="false">A16+C16+D16+E16</f>
        <v>18571.4285714286</v>
      </c>
    </row>
    <row r="17" customFormat="false" ht="15" hidden="false" customHeight="true" outlineLevel="0" collapsed="false">
      <c r="A17" s="4" t="s">
        <v>93</v>
      </c>
      <c r="B17" s="3"/>
      <c r="C17" s="3"/>
      <c r="D17" s="3"/>
      <c r="E17" s="3"/>
      <c r="F17" s="3"/>
    </row>
    <row r="18" customFormat="false" ht="15" hidden="false" customHeight="true" outlineLevel="0" collapsed="false">
      <c r="A18" s="3"/>
      <c r="B18" s="3"/>
      <c r="C18" s="3"/>
      <c r="D18" s="3"/>
      <c r="E18" s="3"/>
      <c r="F18" s="3"/>
    </row>
    <row r="19" customFormat="false" ht="15" hidden="false" customHeight="true" outlineLevel="0" collapsed="false">
      <c r="A19" s="14" t="s">
        <v>94</v>
      </c>
      <c r="B19" s="3"/>
      <c r="C19" s="3"/>
      <c r="D19" s="3"/>
      <c r="E19" s="3"/>
      <c r="F19" s="3"/>
    </row>
    <row r="20" customFormat="false" ht="15" hidden="false" customHeight="true" outlineLevel="0" collapsed="false">
      <c r="A20" s="5" t="s">
        <v>90</v>
      </c>
      <c r="B20" s="6" t="s">
        <v>95</v>
      </c>
      <c r="C20" s="6" t="s">
        <v>87</v>
      </c>
      <c r="D20" s="6" t="s">
        <v>91</v>
      </c>
      <c r="E20" s="6" t="s">
        <v>65</v>
      </c>
      <c r="F20" s="6" t="s">
        <v>96</v>
      </c>
    </row>
    <row r="21" customFormat="false" ht="15" hidden="false" customHeight="true" outlineLevel="0" collapsed="false">
      <c r="A21" s="25" t="n">
        <v>1000</v>
      </c>
      <c r="B21" s="25" t="n">
        <v>1500</v>
      </c>
      <c r="C21" s="18" t="n">
        <f aca="false">B21*$B$5</f>
        <v>150</v>
      </c>
      <c r="D21" s="18" t="n">
        <f aca="false">B21*$B$6</f>
        <v>75</v>
      </c>
      <c r="E21" s="18" t="n">
        <f aca="false">B21-A21-C21-D21</f>
        <v>275</v>
      </c>
      <c r="F21" s="16" t="n">
        <f aca="false">IF(B21&gt;0,E21/B21,0)</f>
        <v>0.183333333333333</v>
      </c>
    </row>
    <row r="22" customFormat="false" ht="15" hidden="false" customHeight="true" outlineLevel="0" collapsed="false">
      <c r="A22" s="25" t="n">
        <v>1000</v>
      </c>
      <c r="B22" s="25" t="n">
        <v>1200</v>
      </c>
      <c r="C22" s="18" t="n">
        <f aca="false">B22*$B$5</f>
        <v>120</v>
      </c>
      <c r="D22" s="18" t="n">
        <f aca="false">B22*$B$6</f>
        <v>60</v>
      </c>
      <c r="E22" s="18" t="n">
        <f aca="false">B22-A22-C22-D22</f>
        <v>20</v>
      </c>
      <c r="F22" s="16" t="n">
        <f aca="false">IF(B22&gt;0,E22/B22,0)</f>
        <v>0.0166666666666667</v>
      </c>
    </row>
    <row r="23" customFormat="false" ht="15" hidden="false" customHeight="true" outlineLevel="0" collapsed="false">
      <c r="A23" s="25" t="n">
        <v>13000</v>
      </c>
      <c r="B23" s="25" t="n">
        <v>14950</v>
      </c>
      <c r="C23" s="18" t="n">
        <f aca="false">B23*$B$5</f>
        <v>1495</v>
      </c>
      <c r="D23" s="18" t="n">
        <f aca="false">B23*$B$6</f>
        <v>747.5</v>
      </c>
      <c r="E23" s="18" t="n">
        <f aca="false">B23-A23-C23-D23</f>
        <v>-292.5</v>
      </c>
      <c r="F23" s="16" t="n">
        <f aca="false">IF(B23&gt;0,E23/B23,0)</f>
        <v>-0.0195652173913044</v>
      </c>
    </row>
    <row r="24" customFormat="false" ht="15" hidden="false" customHeight="true" outlineLevel="0" collapsed="false">
      <c r="A24" s="4" t="s">
        <v>97</v>
      </c>
      <c r="B24" s="3"/>
      <c r="C24" s="3"/>
      <c r="D24" s="3"/>
      <c r="E24" s="3"/>
      <c r="F24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11" min="2" style="1" width="15"/>
    <col collapsed="false" customWidth="true" hidden="false" outlineLevel="0" max="12" min="12" style="1" width="28"/>
  </cols>
  <sheetData>
    <row r="1" customFormat="false" ht="17.25" hidden="false" customHeight="true" outlineLevel="0" collapsed="false">
      <c r="A1" s="2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15" hidden="false" customHeight="true" outlineLevel="0" collapsed="false">
      <c r="A2" s="4" t="s">
        <v>99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true" outlineLevel="0" collapsed="false">
      <c r="A3" s="4" t="s">
        <v>100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Format="false" ht="15" hidden="false" customHeight="true" outlineLevel="0" collapsed="false">
      <c r="A5" s="5" t="s">
        <v>101</v>
      </c>
      <c r="B5" s="6" t="s">
        <v>4</v>
      </c>
      <c r="C5" s="6" t="s">
        <v>5</v>
      </c>
      <c r="D5" s="3"/>
      <c r="E5" s="3"/>
      <c r="F5" s="3"/>
      <c r="G5" s="3"/>
      <c r="H5" s="3"/>
      <c r="I5" s="3"/>
      <c r="J5" s="3"/>
      <c r="K5" s="3"/>
      <c r="L5" s="3"/>
    </row>
    <row r="6" customFormat="false" ht="15" hidden="false" customHeight="true" outlineLevel="0" collapsed="false">
      <c r="A6" s="7" t="s">
        <v>102</v>
      </c>
      <c r="B6" s="8" t="n">
        <v>80000</v>
      </c>
      <c r="C6" s="4" t="s">
        <v>103</v>
      </c>
      <c r="D6" s="3"/>
      <c r="E6" s="3"/>
      <c r="F6" s="3"/>
      <c r="G6" s="3"/>
      <c r="H6" s="3"/>
      <c r="I6" s="3"/>
      <c r="J6" s="3"/>
      <c r="K6" s="3"/>
      <c r="L6" s="3"/>
    </row>
    <row r="7" customFormat="false" ht="15" hidden="false" customHeight="true" outlineLevel="0" collapsed="false">
      <c r="A7" s="7" t="s">
        <v>14</v>
      </c>
      <c r="B7" s="10" t="n">
        <v>0.1</v>
      </c>
      <c r="C7" s="4" t="s">
        <v>15</v>
      </c>
      <c r="D7" s="3"/>
      <c r="E7" s="3"/>
      <c r="F7" s="3"/>
      <c r="G7" s="3"/>
      <c r="H7" s="3"/>
      <c r="I7" s="3"/>
      <c r="J7" s="3"/>
      <c r="K7" s="3"/>
      <c r="L7" s="3"/>
    </row>
    <row r="8" customFormat="false" ht="15" hidden="false" customHeight="true" outlineLevel="0" collapsed="false">
      <c r="A8" s="7" t="s">
        <v>16</v>
      </c>
      <c r="B8" s="10" t="n">
        <v>0.05</v>
      </c>
      <c r="C8" s="4" t="s">
        <v>15</v>
      </c>
      <c r="D8" s="3"/>
      <c r="E8" s="3"/>
      <c r="F8" s="3"/>
      <c r="G8" s="3"/>
      <c r="H8" s="3"/>
      <c r="I8" s="3"/>
      <c r="J8" s="3"/>
      <c r="K8" s="3"/>
      <c r="L8" s="3"/>
    </row>
    <row r="9" customFormat="false" ht="15" hidden="false" customHeight="true" outlineLevel="0" collapsed="false">
      <c r="A9" s="7" t="s">
        <v>104</v>
      </c>
      <c r="B9" s="10" t="n">
        <v>0.05</v>
      </c>
      <c r="C9" s="4" t="s">
        <v>105</v>
      </c>
      <c r="D9" s="3"/>
      <c r="E9" s="3"/>
      <c r="F9" s="3"/>
      <c r="G9" s="3"/>
      <c r="H9" s="3"/>
      <c r="I9" s="3"/>
      <c r="J9" s="3"/>
      <c r="K9" s="3"/>
      <c r="L9" s="3"/>
    </row>
    <row r="10" customFormat="false" ht="15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customFormat="false" ht="45" hidden="false" customHeight="true" outlineLevel="0" collapsed="false">
      <c r="A11" s="26" t="s">
        <v>106</v>
      </c>
      <c r="B11" s="26" t="s">
        <v>107</v>
      </c>
      <c r="C11" s="26" t="s">
        <v>108</v>
      </c>
      <c r="D11" s="26" t="s">
        <v>109</v>
      </c>
      <c r="E11" s="26" t="s">
        <v>110</v>
      </c>
      <c r="F11" s="26" t="s">
        <v>111</v>
      </c>
      <c r="G11" s="26" t="s">
        <v>112</v>
      </c>
      <c r="H11" s="26" t="s">
        <v>113</v>
      </c>
      <c r="I11" s="26" t="s">
        <v>114</v>
      </c>
      <c r="J11" s="26" t="s">
        <v>115</v>
      </c>
      <c r="K11" s="26" t="s">
        <v>116</v>
      </c>
      <c r="L11" s="26" t="s">
        <v>70</v>
      </c>
    </row>
    <row r="12" customFormat="false" ht="15" hidden="false" customHeight="true" outlineLevel="0" collapsed="false">
      <c r="A12" s="22" t="s">
        <v>117</v>
      </c>
      <c r="B12" s="8" t="n">
        <v>11000</v>
      </c>
      <c r="C12" s="9" t="n">
        <v>8</v>
      </c>
      <c r="D12" s="8" t="n">
        <v>23000</v>
      </c>
      <c r="E12" s="27" t="n">
        <f aca="false">C12*D12</f>
        <v>184000</v>
      </c>
      <c r="F12" s="28" t="n">
        <f aca="false">IF($E$17&gt;0,E12/$E$17,0)</f>
        <v>0.519774011299435</v>
      </c>
      <c r="G12" s="27" t="n">
        <f aca="false">IF(C12&gt;0,$B$6*F12/C12,0)</f>
        <v>5197.74011299435</v>
      </c>
      <c r="H12" s="27" t="n">
        <f aca="false">IF(C12&gt;0,B12+G12,0)</f>
        <v>16197.7401129944</v>
      </c>
      <c r="I12" s="15" t="n">
        <f aca="false">IF(AND(H12&gt;0,1-$B$7-$B$8&gt;0),H12/(1-$B$7-$B$8),0)</f>
        <v>19056.1648388169</v>
      </c>
      <c r="J12" s="15" t="n">
        <f aca="false">IF(AND(H12&gt;0,1-$B$7-$B$8-$B$9&gt;0),H12/(1-$B$7-$B$8-$B$9),0)</f>
        <v>20247.1751412429</v>
      </c>
      <c r="K12" s="28" t="n">
        <f aca="false">IF(AND(D12&gt;0,J12&gt;0),1-J12/D12,0)</f>
        <v>0.119688037337264</v>
      </c>
      <c r="L12" s="29" t="str">
        <f aca="false">IF(OR(D12="",D12=0),"",IF(D12&lt;I12,"Abaixo do piso: prejuízo",IF(D12&lt;J12,"Abaixo do lucro mínimo","OK")))</f>
        <v>OK</v>
      </c>
    </row>
    <row r="13" customFormat="false" ht="15" hidden="false" customHeight="true" outlineLevel="0" collapsed="false">
      <c r="A13" s="22" t="s">
        <v>118</v>
      </c>
      <c r="B13" s="8" t="n">
        <v>8000</v>
      </c>
      <c r="C13" s="9" t="n">
        <v>8</v>
      </c>
      <c r="D13" s="8" t="n">
        <v>16500</v>
      </c>
      <c r="E13" s="27" t="n">
        <f aca="false">C13*D13</f>
        <v>132000</v>
      </c>
      <c r="F13" s="28" t="n">
        <f aca="false">IF($E$17&gt;0,E13/$E$17,0)</f>
        <v>0.372881355932203</v>
      </c>
      <c r="G13" s="27" t="n">
        <f aca="false">IF(C13&gt;0,$B$6*F13/C13,0)</f>
        <v>3728.81355932203</v>
      </c>
      <c r="H13" s="27" t="n">
        <f aca="false">IF(C13&gt;0,B13+G13,0)</f>
        <v>11728.813559322</v>
      </c>
      <c r="I13" s="15" t="n">
        <f aca="false">IF(AND(H13&gt;0,1-$B$7-$B$8&gt;0),H13/(1-$B$7-$B$8),0)</f>
        <v>13798.6041874377</v>
      </c>
      <c r="J13" s="15" t="n">
        <f aca="false">IF(AND(H13&gt;0,1-$B$7-$B$8-$B$9&gt;0),H13/(1-$B$7-$B$8-$B$9),0)</f>
        <v>14661.0169491525</v>
      </c>
      <c r="K13" s="28" t="n">
        <f aca="false">IF(AND(D13&gt;0,J13&gt;0),1-J13/D13,0)</f>
        <v>0.111453518233179</v>
      </c>
      <c r="L13" s="29" t="str">
        <f aca="false">IF(OR(D13="",D13=0),"",IF(D13&lt;I13,"Abaixo do piso: prejuízo",IF(D13&lt;J13,"Abaixo do lucro mínimo","OK")))</f>
        <v>OK</v>
      </c>
    </row>
    <row r="14" customFormat="false" ht="15" hidden="false" customHeight="true" outlineLevel="0" collapsed="false">
      <c r="A14" s="22" t="s">
        <v>119</v>
      </c>
      <c r="B14" s="8" t="n">
        <v>6000</v>
      </c>
      <c r="C14" s="9" t="n">
        <v>4</v>
      </c>
      <c r="D14" s="8" t="n">
        <v>9500</v>
      </c>
      <c r="E14" s="27" t="n">
        <f aca="false">C14*D14</f>
        <v>38000</v>
      </c>
      <c r="F14" s="28" t="n">
        <f aca="false">IF($E$17&gt;0,E14/$E$17,0)</f>
        <v>0.107344632768362</v>
      </c>
      <c r="G14" s="27" t="n">
        <f aca="false">IF(C14&gt;0,$B$6*F14/C14,0)</f>
        <v>2146.89265536723</v>
      </c>
      <c r="H14" s="27" t="n">
        <f aca="false">IF(C14&gt;0,B14+G14,0)</f>
        <v>8146.89265536723</v>
      </c>
      <c r="I14" s="15" t="n">
        <f aca="false">IF(AND(H14&gt;0,1-$B$7-$B$8&gt;0),H14/(1-$B$7-$B$8),0)</f>
        <v>9584.57959454969</v>
      </c>
      <c r="J14" s="15" t="n">
        <f aca="false">IF(AND(H14&gt;0,1-$B$7-$B$8-$B$9&gt;0),H14/(1-$B$7-$B$8-$B$9),0)</f>
        <v>10183.615819209</v>
      </c>
      <c r="K14" s="28" t="n">
        <f aca="false">IF(AND(D14&gt;0,J14&gt;0),1-J14/D14,0)</f>
        <v>-0.0719595599167411</v>
      </c>
      <c r="L14" s="29" t="str">
        <f aca="false">IF(OR(D14="",D14=0),"",IF(D14&lt;I14,"Abaixo do piso: prejuízo",IF(D14&lt;J14,"Abaixo do lucro mínimo","OK")))</f>
        <v>Abaixo do piso: prejuízo</v>
      </c>
    </row>
    <row r="15" customFormat="false" ht="15" hidden="false" customHeight="true" outlineLevel="0" collapsed="false">
      <c r="A15" s="22"/>
      <c r="B15" s="8"/>
      <c r="C15" s="9"/>
      <c r="D15" s="8"/>
      <c r="E15" s="27" t="n">
        <f aca="false">C15*D15</f>
        <v>0</v>
      </c>
      <c r="F15" s="28" t="n">
        <f aca="false">IF($E$17&gt;0,E15/$E$17,0)</f>
        <v>0</v>
      </c>
      <c r="G15" s="27" t="n">
        <f aca="false">IF(C15&gt;0,$B$6*F15/C15,0)</f>
        <v>0</v>
      </c>
      <c r="H15" s="27" t="n">
        <f aca="false">IF(C15&gt;0,B15+G15,0)</f>
        <v>0</v>
      </c>
      <c r="I15" s="15" t="n">
        <f aca="false">IF(AND(H15&gt;0,1-$B$7-$B$8&gt;0),H15/(1-$B$7-$B$8),0)</f>
        <v>0</v>
      </c>
      <c r="J15" s="15" t="n">
        <f aca="false">IF(AND(H15&gt;0,1-$B$7-$B$8-$B$9&gt;0),H15/(1-$B$7-$B$8-$B$9),0)</f>
        <v>0</v>
      </c>
      <c r="K15" s="28" t="n">
        <f aca="false">IF(AND(D15&gt;0,J15&gt;0),1-J15/D15,0)</f>
        <v>0</v>
      </c>
      <c r="L15" s="29" t="str">
        <f aca="false">IF(OR(D15="",D15=0),"",IF(D15&lt;I15,"Abaixo do piso: prejuízo",IF(D15&lt;J15,"Abaixo do lucro mínimo","OK")))</f>
        <v/>
      </c>
    </row>
    <row r="16" customFormat="false" ht="15" hidden="false" customHeight="true" outlineLevel="0" collapsed="false">
      <c r="A16" s="22"/>
      <c r="B16" s="8"/>
      <c r="C16" s="9"/>
      <c r="D16" s="8"/>
      <c r="E16" s="27" t="n">
        <f aca="false">C16*D16</f>
        <v>0</v>
      </c>
      <c r="F16" s="28" t="n">
        <f aca="false">IF($E$17&gt;0,E16/$E$17,0)</f>
        <v>0</v>
      </c>
      <c r="G16" s="27" t="n">
        <f aca="false">IF(C16&gt;0,$B$6*F16/C16,0)</f>
        <v>0</v>
      </c>
      <c r="H16" s="27" t="n">
        <f aca="false">IF(C16&gt;0,B16+G16,0)</f>
        <v>0</v>
      </c>
      <c r="I16" s="15" t="n">
        <f aca="false">IF(AND(H16&gt;0,1-$B$7-$B$8&gt;0),H16/(1-$B$7-$B$8),0)</f>
        <v>0</v>
      </c>
      <c r="J16" s="15" t="n">
        <f aca="false">IF(AND(H16&gt;0,1-$B$7-$B$8-$B$9&gt;0),H16/(1-$B$7-$B$8-$B$9),0)</f>
        <v>0</v>
      </c>
      <c r="K16" s="28" t="n">
        <f aca="false">IF(AND(D16&gt;0,J16&gt;0),1-J16/D16,0)</f>
        <v>0</v>
      </c>
      <c r="L16" s="29" t="str">
        <f aca="false">IF(OR(D16="",D16=0),"",IF(D16&lt;I16,"Abaixo do piso: prejuízo",IF(D16&lt;J16,"Abaixo do lucro mínimo","OK")))</f>
        <v/>
      </c>
    </row>
    <row r="17" customFormat="false" ht="15" hidden="false" customHeight="true" outlineLevel="0" collapsed="false">
      <c r="A17" s="14" t="s">
        <v>120</v>
      </c>
      <c r="B17" s="3"/>
      <c r="C17" s="3"/>
      <c r="D17" s="3"/>
      <c r="E17" s="30" t="n">
        <f aca="false">SUM(E12:E16)</f>
        <v>354000</v>
      </c>
      <c r="F17" s="17" t="n">
        <f aca="false">SUM(F12:F16)</f>
        <v>1</v>
      </c>
      <c r="G17" s="3"/>
      <c r="H17" s="3"/>
      <c r="I17" s="3"/>
      <c r="J17" s="3"/>
      <c r="K17" s="3"/>
      <c r="L17" s="3"/>
    </row>
    <row r="18" customFormat="false" ht="15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Format="false" ht="15" hidden="false" customHeight="true" outlineLevel="0" collapsed="false">
      <c r="A19" s="14" t="s">
        <v>121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Format="false" ht="15" hidden="false" customHeight="true" outlineLevel="0" collapsed="false">
      <c r="A20" s="4" t="s">
        <v>122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Format="false" ht="15" hidden="false" customHeight="true" outlineLevel="0" collapsed="false">
      <c r="A21" s="4" t="s">
        <v>123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Format="false" ht="15" hidden="false" customHeight="true" outlineLevel="0" collapsed="false">
      <c r="A22" s="4" t="s">
        <v>124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Format="false" ht="15" hidden="false" customHeight="true" outlineLevel="0" collapsed="false">
      <c r="A23" s="4" t="s">
        <v>125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Format="false" ht="15" hidden="false" customHeight="true" outlineLevel="0" collapsed="false">
      <c r="A24" s="4" t="s">
        <v>126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customFormat="false" ht="15" hidden="false" customHeight="true" outlineLevel="0" collapsed="false">
      <c r="A25" s="4" t="s">
        <v>127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5" min="2" style="1" width="20"/>
    <col collapsed="false" customWidth="true" hidden="false" outlineLevel="0" max="6" min="6" style="1" width="18"/>
  </cols>
  <sheetData>
    <row r="1" customFormat="false" ht="17.25" hidden="false" customHeight="true" outlineLevel="0" collapsed="false">
      <c r="A1" s="2" t="s">
        <v>128</v>
      </c>
    </row>
    <row r="2" customFormat="false" ht="15" hidden="false" customHeight="true" outlineLevel="0" collapsed="false">
      <c r="A2" s="31" t="s">
        <v>129</v>
      </c>
    </row>
    <row r="3" customFormat="false" ht="15" hidden="false" customHeight="true" outlineLevel="0" collapsed="false">
      <c r="A3" s="31" t="s">
        <v>130</v>
      </c>
    </row>
    <row r="5" customFormat="false" ht="15" hidden="false" customHeight="true" outlineLevel="0" collapsed="false">
      <c r="A5" s="32" t="s">
        <v>131</v>
      </c>
      <c r="B5" s="32" t="s">
        <v>4</v>
      </c>
      <c r="C5" s="32" t="s">
        <v>5</v>
      </c>
    </row>
    <row r="6" customFormat="false" ht="15" hidden="false" customHeight="true" outlineLevel="0" collapsed="false">
      <c r="A6" s="7" t="s">
        <v>102</v>
      </c>
      <c r="B6" s="33" t="n">
        <f aca="false">'1. Preço'!B6+'1. Preço'!B7</f>
        <v>80000</v>
      </c>
      <c r="C6" s="31" t="s">
        <v>48</v>
      </c>
    </row>
    <row r="7" customFormat="false" ht="15" hidden="false" customHeight="true" outlineLevel="0" collapsed="false">
      <c r="A7" s="7" t="s">
        <v>132</v>
      </c>
      <c r="B7" s="25" t="n">
        <v>0</v>
      </c>
      <c r="C7" s="31" t="s">
        <v>133</v>
      </c>
    </row>
    <row r="8" customFormat="false" ht="15" hidden="false" customHeight="true" outlineLevel="0" collapsed="false">
      <c r="A8" s="7" t="s">
        <v>134</v>
      </c>
      <c r="B8" s="34" t="n">
        <v>50</v>
      </c>
    </row>
    <row r="9" customFormat="false" ht="15" hidden="false" customHeight="true" outlineLevel="0" collapsed="false">
      <c r="A9" s="7" t="s">
        <v>10</v>
      </c>
      <c r="B9" s="35" t="n">
        <f aca="false">'1. Preço'!B8</f>
        <v>20</v>
      </c>
      <c r="C9" s="31" t="s">
        <v>48</v>
      </c>
    </row>
    <row r="10" customFormat="false" ht="15" hidden="false" customHeight="true" outlineLevel="0" collapsed="false">
      <c r="A10" s="7" t="s">
        <v>135</v>
      </c>
      <c r="B10" s="34" t="n">
        <v>330</v>
      </c>
      <c r="C10" s="31" t="s">
        <v>136</v>
      </c>
    </row>
    <row r="11" customFormat="false" ht="15" hidden="false" customHeight="true" outlineLevel="0" collapsed="false">
      <c r="A11" s="7" t="s">
        <v>137</v>
      </c>
      <c r="B11" s="35" t="n">
        <f aca="false">B8*B9+B10</f>
        <v>1330</v>
      </c>
      <c r="C11" s="31" t="s">
        <v>138</v>
      </c>
    </row>
    <row r="12" customFormat="false" ht="15" hidden="false" customHeight="true" outlineLevel="0" collapsed="false">
      <c r="A12" s="7" t="s">
        <v>139</v>
      </c>
      <c r="B12" s="36" t="n">
        <f aca="false">IF(B11&gt;0,(B6+B7)/B11,0)</f>
        <v>60.1503759398496</v>
      </c>
      <c r="C12" s="31" t="s">
        <v>140</v>
      </c>
    </row>
    <row r="13" customFormat="false" ht="15" hidden="false" customHeight="true" outlineLevel="0" collapsed="false">
      <c r="A13" s="14" t="s">
        <v>141</v>
      </c>
      <c r="B13" s="37" t="n">
        <f aca="false">ROUND(B12,0)</f>
        <v>60</v>
      </c>
      <c r="C13" s="31" t="s">
        <v>142</v>
      </c>
    </row>
    <row r="14" customFormat="false" ht="15" hidden="false" customHeight="true" outlineLevel="0" collapsed="false">
      <c r="A14" s="7" t="s">
        <v>143</v>
      </c>
      <c r="B14" s="33" t="n">
        <f aca="false">B8*B13</f>
        <v>3000</v>
      </c>
      <c r="C14" s="31" t="s">
        <v>144</v>
      </c>
    </row>
    <row r="16" customFormat="false" ht="15" hidden="false" customHeight="true" outlineLevel="0" collapsed="false">
      <c r="A16" s="32" t="s">
        <v>106</v>
      </c>
      <c r="B16" s="32" t="s">
        <v>145</v>
      </c>
      <c r="C16" s="32" t="s">
        <v>146</v>
      </c>
      <c r="D16" s="32" t="s">
        <v>147</v>
      </c>
      <c r="E16" s="32" t="s">
        <v>148</v>
      </c>
    </row>
    <row r="17" customFormat="false" ht="15" hidden="false" customHeight="true" outlineLevel="0" collapsed="false">
      <c r="A17" s="7" t="s">
        <v>149</v>
      </c>
      <c r="B17" s="25" t="n">
        <v>420</v>
      </c>
      <c r="C17" s="38" t="n">
        <v>1.5</v>
      </c>
      <c r="D17" s="33" t="n">
        <f aca="false">C17*$B$13</f>
        <v>90</v>
      </c>
      <c r="E17" s="37" t="n">
        <f aca="false">B17+D17</f>
        <v>510</v>
      </c>
    </row>
    <row r="18" customFormat="false" ht="15" hidden="false" customHeight="true" outlineLevel="0" collapsed="false">
      <c r="A18" s="7" t="s">
        <v>150</v>
      </c>
      <c r="B18" s="25" t="n">
        <v>310</v>
      </c>
      <c r="C18" s="38" t="n">
        <v>1</v>
      </c>
      <c r="D18" s="33" t="n">
        <f aca="false">C18*$B$13</f>
        <v>60</v>
      </c>
      <c r="E18" s="37" t="n">
        <f aca="false">B18+D18</f>
        <v>370</v>
      </c>
    </row>
    <row r="19" customFormat="false" ht="15" hidden="false" customHeight="true" outlineLevel="0" collapsed="false">
      <c r="A19" s="7" t="s">
        <v>151</v>
      </c>
      <c r="B19" s="25" t="n">
        <v>80</v>
      </c>
      <c r="C19" s="38" t="n">
        <v>0.25</v>
      </c>
      <c r="D19" s="33" t="n">
        <f aca="false">C19*$B$13</f>
        <v>15</v>
      </c>
      <c r="E19" s="37" t="n">
        <f aca="false">B19+D19</f>
        <v>95</v>
      </c>
    </row>
    <row r="20" customFormat="false" ht="15" hidden="false" customHeight="true" outlineLevel="0" collapsed="false">
      <c r="A20" s="31" t="s">
        <v>152</v>
      </c>
    </row>
    <row r="22" customFormat="false" ht="15" hidden="false" customHeight="true" outlineLevel="0" collapsed="false">
      <c r="A22" s="32" t="s">
        <v>153</v>
      </c>
      <c r="B22" s="32" t="s">
        <v>4</v>
      </c>
      <c r="C22" s="32" t="s">
        <v>5</v>
      </c>
    </row>
    <row r="23" customFormat="false" ht="15" hidden="false" customHeight="true" outlineLevel="0" collapsed="false">
      <c r="A23" s="7" t="s">
        <v>14</v>
      </c>
      <c r="B23" s="39" t="n">
        <f aca="false">'1. Preço'!B10</f>
        <v>0.1</v>
      </c>
      <c r="C23" s="31" t="s">
        <v>48</v>
      </c>
    </row>
    <row r="24" customFormat="false" ht="15" hidden="false" customHeight="true" outlineLevel="0" collapsed="false">
      <c r="A24" s="7" t="s">
        <v>154</v>
      </c>
      <c r="B24" s="40" t="n">
        <v>0.05</v>
      </c>
      <c r="C24" s="31" t="s">
        <v>155</v>
      </c>
    </row>
    <row r="25" customFormat="false" ht="15" hidden="false" customHeight="true" outlineLevel="0" collapsed="false">
      <c r="A25" s="7" t="s">
        <v>156</v>
      </c>
      <c r="B25" s="40" t="n">
        <v>0.16</v>
      </c>
      <c r="C25" s="31" t="s">
        <v>157</v>
      </c>
    </row>
    <row r="26" customFormat="false" ht="15" hidden="false" customHeight="true" outlineLevel="0" collapsed="false">
      <c r="A26" s="7" t="s">
        <v>158</v>
      </c>
      <c r="B26" s="40" t="n">
        <v>0.16</v>
      </c>
      <c r="C26" s="31" t="s">
        <v>159</v>
      </c>
    </row>
    <row r="27" customFormat="false" ht="15" hidden="false" customHeight="true" outlineLevel="0" collapsed="false">
      <c r="A27" s="7" t="s">
        <v>160</v>
      </c>
      <c r="B27" s="25" t="n">
        <v>790</v>
      </c>
    </row>
    <row r="28" customFormat="false" ht="15" hidden="false" customHeight="true" outlineLevel="0" collapsed="false">
      <c r="A28" s="7" t="s">
        <v>161</v>
      </c>
      <c r="B28" s="36" t="n">
        <f aca="false">B27*B25</f>
        <v>126.4</v>
      </c>
      <c r="C28" s="31" t="s">
        <v>162</v>
      </c>
    </row>
    <row r="29" customFormat="false" ht="15" hidden="false" customHeight="true" outlineLevel="0" collapsed="false">
      <c r="A29" s="7" t="s">
        <v>163</v>
      </c>
      <c r="B29" s="25" t="n">
        <v>89</v>
      </c>
      <c r="C29" s="31" t="s">
        <v>164</v>
      </c>
    </row>
    <row r="30" customFormat="false" ht="15" hidden="false" customHeight="true" outlineLevel="0" collapsed="false">
      <c r="A30" s="7" t="s">
        <v>165</v>
      </c>
      <c r="B30" s="25" t="n">
        <v>1000</v>
      </c>
    </row>
    <row r="32" customFormat="false" ht="31.5" hidden="false" customHeight="true" outlineLevel="0" collapsed="false">
      <c r="A32" s="32" t="s">
        <v>166</v>
      </c>
      <c r="B32" s="32" t="s">
        <v>167</v>
      </c>
      <c r="C32" s="32" t="s">
        <v>168</v>
      </c>
    </row>
    <row r="33" customFormat="false" ht="15" hidden="false" customHeight="true" outlineLevel="0" collapsed="false">
      <c r="A33" s="7" t="s">
        <v>35</v>
      </c>
      <c r="B33" s="33" t="n">
        <f aca="false">B27</f>
        <v>790</v>
      </c>
      <c r="C33" s="33" t="n">
        <f aca="false">B27</f>
        <v>790</v>
      </c>
    </row>
    <row r="34" customFormat="false" ht="15" hidden="false" customHeight="true" outlineLevel="0" collapsed="false">
      <c r="A34" s="7" t="s">
        <v>36</v>
      </c>
      <c r="B34" s="36" t="n">
        <f aca="false">-B33*$B$23</f>
        <v>-79</v>
      </c>
      <c r="C34" s="36" t="n">
        <f aca="false">-C33*$B$23</f>
        <v>-79</v>
      </c>
    </row>
    <row r="35" customFormat="false" ht="15" hidden="false" customHeight="true" outlineLevel="0" collapsed="false">
      <c r="A35" s="7" t="s">
        <v>169</v>
      </c>
      <c r="B35" s="36" t="n">
        <f aca="false">-B33*$B$24</f>
        <v>-39.5</v>
      </c>
      <c r="C35" s="36" t="n">
        <f aca="false">-C33*$B$24</f>
        <v>-39.5</v>
      </c>
    </row>
    <row r="36" customFormat="false" ht="15" hidden="false" customHeight="true" outlineLevel="0" collapsed="false">
      <c r="A36" s="7" t="s">
        <v>170</v>
      </c>
      <c r="B36" s="36" t="n">
        <f aca="false">-$E$17</f>
        <v>-510</v>
      </c>
      <c r="C36" s="36" t="n">
        <f aca="false">-$E$17</f>
        <v>-510</v>
      </c>
    </row>
    <row r="37" customFormat="false" ht="15" hidden="false" customHeight="true" outlineLevel="0" collapsed="false">
      <c r="A37" s="14" t="s">
        <v>171</v>
      </c>
      <c r="B37" s="41" t="n">
        <f aca="false">SUM(B33:B36)</f>
        <v>161.5</v>
      </c>
      <c r="C37" s="41" t="n">
        <f aca="false">SUM(C33:C36)</f>
        <v>161.5</v>
      </c>
    </row>
    <row r="38" customFormat="false" ht="15" hidden="false" customHeight="true" outlineLevel="0" collapsed="false">
      <c r="A38" s="7" t="s">
        <v>172</v>
      </c>
      <c r="B38" s="36" t="n">
        <f aca="false">-$B$28</f>
        <v>-126.4</v>
      </c>
      <c r="C38" s="36" t="n">
        <f aca="false">-C33*$B$26</f>
        <v>-126.4</v>
      </c>
      <c r="D38" s="31" t="s">
        <v>173</v>
      </c>
    </row>
    <row r="39" customFormat="false" ht="15" hidden="false" customHeight="true" outlineLevel="0" collapsed="false">
      <c r="A39" s="14" t="s">
        <v>174</v>
      </c>
      <c r="B39" s="42" t="n">
        <f aca="false">B37+B38</f>
        <v>35.1</v>
      </c>
      <c r="C39" s="42" t="n">
        <f aca="false">C37+C38</f>
        <v>35.1</v>
      </c>
    </row>
    <row r="40" customFormat="false" ht="15" hidden="false" customHeight="true" outlineLevel="0" collapsed="false">
      <c r="A40" s="7" t="s">
        <v>175</v>
      </c>
      <c r="B40" s="36" t="n">
        <f aca="false">B37</f>
        <v>161.5</v>
      </c>
      <c r="C40" s="36" t="n">
        <f aca="false">C39</f>
        <v>35.1</v>
      </c>
      <c r="D40" s="31" t="s">
        <v>176</v>
      </c>
    </row>
    <row r="41" customFormat="false" ht="15" hidden="false" customHeight="true" outlineLevel="0" collapsed="false">
      <c r="A41" s="14" t="s">
        <v>177</v>
      </c>
      <c r="B41" s="42" t="n">
        <f aca="false">B39+B40</f>
        <v>196.6</v>
      </c>
      <c r="C41" s="42" t="n">
        <f aca="false">C39+C40</f>
        <v>70.2</v>
      </c>
    </row>
    <row r="42" customFormat="false" ht="15" hidden="false" customHeight="true" outlineLevel="0" collapsed="false">
      <c r="A42" s="31" t="s">
        <v>178</v>
      </c>
    </row>
    <row r="44" customFormat="false" ht="15" hidden="false" customHeight="true" outlineLevel="0" collapsed="false">
      <c r="A44" s="32" t="s">
        <v>179</v>
      </c>
      <c r="B44" s="32" t="s">
        <v>4</v>
      </c>
      <c r="C44" s="32" t="s">
        <v>5</v>
      </c>
    </row>
    <row r="45" customFormat="false" ht="15" hidden="false" customHeight="true" outlineLevel="0" collapsed="false">
      <c r="A45" s="7" t="s">
        <v>180</v>
      </c>
      <c r="B45" s="25" t="n">
        <v>590</v>
      </c>
    </row>
    <row r="46" customFormat="false" ht="15" hidden="false" customHeight="true" outlineLevel="0" collapsed="false">
      <c r="A46" s="7" t="s">
        <v>181</v>
      </c>
      <c r="B46" s="25" t="n">
        <v>0</v>
      </c>
      <c r="C46" s="31" t="s">
        <v>182</v>
      </c>
    </row>
    <row r="47" customFormat="false" ht="15" hidden="false" customHeight="true" outlineLevel="0" collapsed="false">
      <c r="A47" s="7" t="s">
        <v>183</v>
      </c>
      <c r="B47" s="33" t="n">
        <f aca="false">B27+B45-B46</f>
        <v>1380</v>
      </c>
    </row>
    <row r="48" customFormat="false" ht="15" hidden="false" customHeight="true" outlineLevel="0" collapsed="false">
      <c r="A48" s="7" t="s">
        <v>184</v>
      </c>
      <c r="B48" s="33" t="n">
        <f aca="false">E17+E18</f>
        <v>880</v>
      </c>
    </row>
    <row r="49" customFormat="false" ht="15" hidden="false" customHeight="true" outlineLevel="0" collapsed="false">
      <c r="A49" s="7" t="s">
        <v>185</v>
      </c>
      <c r="B49" s="33" t="n">
        <f aca="false">IF(B47&gt;B30,B29,0)</f>
        <v>89</v>
      </c>
      <c r="C49" s="31" t="s">
        <v>186</v>
      </c>
    </row>
    <row r="50" customFormat="false" ht="15" hidden="false" customHeight="true" outlineLevel="0" collapsed="false">
      <c r="A50" s="14" t="s">
        <v>187</v>
      </c>
      <c r="B50" s="42" t="n">
        <f aca="false">B47*(1-B23-B24)-B48-B49-B28</f>
        <v>77.6</v>
      </c>
      <c r="C50" s="31" t="s">
        <v>188</v>
      </c>
    </row>
    <row r="51" customFormat="false" ht="15" hidden="false" customHeight="true" outlineLevel="0" collapsed="false">
      <c r="A51" s="7" t="s">
        <v>189</v>
      </c>
      <c r="B51" s="36" t="n">
        <f aca="false">B39</f>
        <v>35.1</v>
      </c>
      <c r="C51" s="31" t="s">
        <v>190</v>
      </c>
    </row>
    <row r="52" customFormat="false" ht="15" hidden="false" customHeight="true" outlineLevel="0" collapsed="false">
      <c r="A52" s="14" t="s">
        <v>191</v>
      </c>
      <c r="B52" s="14" t="str">
        <f aca="false">IF(B50&gt;B51,"Sim","Não")</f>
        <v>Sim</v>
      </c>
    </row>
    <row r="53" customFormat="false" ht="15" hidden="false" customHeight="true" outlineLevel="0" collapsed="false">
      <c r="A53" s="7" t="s">
        <v>192</v>
      </c>
      <c r="B53" s="36" t="n">
        <f aca="false">(B27+B45-90)*(1-B23-B24)-B48-IF(B27+B45-90&gt;B30,B29,0)-B28</f>
        <v>1.09999999999999</v>
      </c>
      <c r="C53" s="31" t="s">
        <v>193</v>
      </c>
    </row>
    <row r="55" customFormat="false" ht="15" hidden="false" customHeight="true" outlineLevel="0" collapsed="false">
      <c r="A55" s="32" t="s">
        <v>194</v>
      </c>
      <c r="B55" s="32" t="s">
        <v>4</v>
      </c>
      <c r="C55" s="32" t="s">
        <v>5</v>
      </c>
    </row>
    <row r="56" customFormat="false" ht="15" hidden="false" customHeight="true" outlineLevel="0" collapsed="false">
      <c r="A56" s="7" t="s">
        <v>195</v>
      </c>
      <c r="B56" s="25" t="n">
        <v>300</v>
      </c>
    </row>
    <row r="57" customFormat="false" ht="15" hidden="false" customHeight="true" outlineLevel="0" collapsed="false">
      <c r="A57" s="7" t="s">
        <v>196</v>
      </c>
      <c r="B57" s="40" t="n">
        <v>0.5</v>
      </c>
      <c r="C57" s="31" t="s">
        <v>197</v>
      </c>
    </row>
    <row r="58" customFormat="false" ht="15" hidden="false" customHeight="true" outlineLevel="0" collapsed="false">
      <c r="A58" s="7" t="s">
        <v>198</v>
      </c>
      <c r="B58" s="33" t="n">
        <f aca="false">B56*(1-B57)</f>
        <v>150</v>
      </c>
    </row>
    <row r="59" customFormat="false" ht="15" hidden="false" customHeight="true" outlineLevel="0" collapsed="false">
      <c r="A59" s="7" t="s">
        <v>199</v>
      </c>
      <c r="B59" s="33" t="n">
        <f aca="false">E19</f>
        <v>95</v>
      </c>
      <c r="C59" s="31" t="s">
        <v>200</v>
      </c>
    </row>
    <row r="60" customFormat="false" ht="15" hidden="false" customHeight="true" outlineLevel="0" collapsed="false">
      <c r="A60" s="7" t="s">
        <v>201</v>
      </c>
      <c r="B60" s="36" t="n">
        <f aca="false">IF(1-B23-B24&gt;0,B59/(1-B23-B24),0)</f>
        <v>111.764705882353</v>
      </c>
      <c r="C60" s="31" t="s">
        <v>202</v>
      </c>
    </row>
    <row r="61" customFormat="false" ht="15" hidden="false" customHeight="true" outlineLevel="0" collapsed="false">
      <c r="A61" s="14" t="s">
        <v>203</v>
      </c>
      <c r="B61" s="14" t="str">
        <f aca="false">IF(B58&gt;=B60,"Sim","Não: prejuízo")</f>
        <v>Sim</v>
      </c>
    </row>
    <row r="62" customFormat="false" ht="15" hidden="false" customHeight="true" outlineLevel="0" collapsed="false">
      <c r="A62" s="14" t="s">
        <v>204</v>
      </c>
      <c r="B62" s="42" t="n">
        <f aca="false">B58*(1-B23-B24)-B59</f>
        <v>32.5</v>
      </c>
      <c r="C62" s="31" t="s">
        <v>205</v>
      </c>
    </row>
    <row r="63" customFormat="false" ht="15" hidden="false" customHeight="true" outlineLevel="0" collapsed="false">
      <c r="A63" s="7" t="s">
        <v>206</v>
      </c>
      <c r="B63" s="33" t="n">
        <f aca="false">IF(AND(B27&lt;=B30,B27+B58&gt;B30),B29,0)</f>
        <v>0</v>
      </c>
      <c r="C63" s="31" t="s">
        <v>207</v>
      </c>
    </row>
    <row r="64" customFormat="false" ht="15" hidden="false" customHeight="true" outlineLevel="0" collapsed="false">
      <c r="A64" s="14" t="s">
        <v>208</v>
      </c>
      <c r="B64" s="42" t="n">
        <f aca="false">B39+B62-B63</f>
        <v>67.6</v>
      </c>
    </row>
    <row r="65" customFormat="false" ht="15" hidden="false" customHeight="true" outlineLevel="0" collapsed="false">
      <c r="A65" s="14" t="s">
        <v>209</v>
      </c>
      <c r="B65" s="42" t="n">
        <f aca="false">B50+B62</f>
        <v>110.1</v>
      </c>
      <c r="C65" s="31" t="s">
        <v>210</v>
      </c>
    </row>
    <row r="67" customFormat="false" ht="31.5" hidden="false" customHeight="true" outlineLevel="0" collapsed="false">
      <c r="A67" s="32" t="s">
        <v>211</v>
      </c>
      <c r="B67" s="32" t="s">
        <v>167</v>
      </c>
      <c r="C67" s="32" t="s">
        <v>168</v>
      </c>
    </row>
    <row r="68" customFormat="false" ht="15" hidden="false" customHeight="true" outlineLevel="0" collapsed="false">
      <c r="A68" s="7" t="s">
        <v>212</v>
      </c>
      <c r="B68" s="34" t="n">
        <v>2</v>
      </c>
      <c r="C68" s="34" t="n">
        <v>2</v>
      </c>
      <c r="D68" s="31" t="s">
        <v>213</v>
      </c>
    </row>
    <row r="69" customFormat="false" ht="15" hidden="false" customHeight="true" outlineLevel="0" collapsed="false">
      <c r="A69" s="7" t="s">
        <v>214</v>
      </c>
      <c r="B69" s="36" t="n">
        <f aca="false">B37</f>
        <v>161.5</v>
      </c>
      <c r="C69" s="36" t="n">
        <f aca="false">C37</f>
        <v>161.5</v>
      </c>
    </row>
    <row r="70" customFormat="false" ht="15" hidden="false" customHeight="true" outlineLevel="0" collapsed="false">
      <c r="A70" s="14" t="s">
        <v>215</v>
      </c>
      <c r="B70" s="41" t="n">
        <f aca="false">B68*B69</f>
        <v>323</v>
      </c>
      <c r="C70" s="41" t="n">
        <f aca="false">C68*C69</f>
        <v>323</v>
      </c>
    </row>
    <row r="71" customFormat="false" ht="15" hidden="false" customHeight="true" outlineLevel="0" collapsed="false">
      <c r="A71" s="7" t="s">
        <v>216</v>
      </c>
      <c r="B71" s="36" t="n">
        <f aca="false">B28</f>
        <v>126.4</v>
      </c>
      <c r="C71" s="36" t="n">
        <f aca="false">C68*C33*$B$26</f>
        <v>252.8</v>
      </c>
      <c r="D71" s="31" t="s">
        <v>217</v>
      </c>
    </row>
    <row r="72" customFormat="false" ht="15" hidden="false" customHeight="true" outlineLevel="0" collapsed="false">
      <c r="A72" s="14" t="s">
        <v>218</v>
      </c>
      <c r="B72" s="42" t="n">
        <f aca="false">B70-B71</f>
        <v>196.6</v>
      </c>
      <c r="C72" s="42" t="n">
        <f aca="false">C70-C71</f>
        <v>70.2</v>
      </c>
    </row>
    <row r="73" customFormat="false" ht="15" hidden="false" customHeight="true" outlineLevel="0" collapsed="false">
      <c r="A73" s="7" t="s">
        <v>219</v>
      </c>
      <c r="B73" s="43" t="n">
        <f aca="false">IF(B71&gt;0,B70/B71,0)</f>
        <v>2.55537974683544</v>
      </c>
      <c r="C73" s="43" t="n">
        <f aca="false">IF(C71&gt;0,C70/C71,0)</f>
        <v>1.27768987341772</v>
      </c>
      <c r="D73" s="31" t="s">
        <v>220</v>
      </c>
    </row>
    <row r="75" customFormat="false" ht="31.5" hidden="false" customHeight="true" outlineLevel="0" collapsed="false">
      <c r="A75" s="32" t="s">
        <v>221</v>
      </c>
      <c r="B75" s="32" t="s">
        <v>167</v>
      </c>
      <c r="C75" s="32" t="s">
        <v>168</v>
      </c>
    </row>
    <row r="76" customFormat="false" ht="15" hidden="false" customHeight="true" outlineLevel="0" collapsed="false">
      <c r="A76" s="7" t="s">
        <v>222</v>
      </c>
      <c r="B76" s="25" t="n">
        <v>100</v>
      </c>
      <c r="C76" s="33" t="n">
        <f aca="false">B76</f>
        <v>100</v>
      </c>
    </row>
    <row r="77" customFormat="false" ht="15" hidden="false" customHeight="true" outlineLevel="0" collapsed="false">
      <c r="A77" s="7" t="s">
        <v>223</v>
      </c>
      <c r="B77" s="25" t="n">
        <v>50</v>
      </c>
      <c r="C77" s="33" t="n">
        <f aca="false">B77</f>
        <v>50</v>
      </c>
    </row>
    <row r="78" customFormat="false" ht="15" hidden="false" customHeight="true" outlineLevel="0" collapsed="false">
      <c r="A78" s="7" t="s">
        <v>214</v>
      </c>
      <c r="B78" s="36" t="n">
        <f aca="false">B76*(1-$B$23-$B$24)-B77</f>
        <v>35</v>
      </c>
      <c r="C78" s="36" t="n">
        <f aca="false">C76*(1-$B$23-$B$24)-C77</f>
        <v>35</v>
      </c>
    </row>
    <row r="79" customFormat="false" ht="15" hidden="false" customHeight="true" outlineLevel="0" collapsed="false">
      <c r="A79" s="7" t="s">
        <v>224</v>
      </c>
      <c r="B79" s="34" t="n">
        <v>12</v>
      </c>
      <c r="C79" s="35" t="n">
        <f aca="false">B79</f>
        <v>12</v>
      </c>
    </row>
    <row r="80" customFormat="false" ht="15" hidden="false" customHeight="true" outlineLevel="0" collapsed="false">
      <c r="A80" s="14" t="s">
        <v>225</v>
      </c>
      <c r="B80" s="41" t="n">
        <f aca="false">B78*B79</f>
        <v>420</v>
      </c>
      <c r="C80" s="41" t="n">
        <f aca="false">C78*C79</f>
        <v>420</v>
      </c>
    </row>
    <row r="81" customFormat="false" ht="15" hidden="false" customHeight="true" outlineLevel="0" collapsed="false">
      <c r="A81" s="7" t="s">
        <v>226</v>
      </c>
      <c r="B81" s="44" t="n">
        <v>60</v>
      </c>
      <c r="C81" s="36" t="n">
        <f aca="false">C76*$B$26*C79</f>
        <v>192</v>
      </c>
      <c r="D81" s="31" t="s">
        <v>227</v>
      </c>
    </row>
    <row r="82" customFormat="false" ht="15" hidden="false" customHeight="true" outlineLevel="0" collapsed="false">
      <c r="A82" s="7" t="s">
        <v>228</v>
      </c>
      <c r="B82" s="36" t="n">
        <f aca="false">B78-B81</f>
        <v>-25</v>
      </c>
      <c r="C82" s="36" t="n">
        <f aca="false">C78-C76*$B$26</f>
        <v>19</v>
      </c>
    </row>
    <row r="83" customFormat="false" ht="15" hidden="false" customHeight="true" outlineLevel="0" collapsed="false">
      <c r="A83" s="14" t="s">
        <v>229</v>
      </c>
      <c r="B83" s="42" t="n">
        <f aca="false">B80-B81</f>
        <v>360</v>
      </c>
      <c r="C83" s="42" t="n">
        <f aca="false">C80-C81</f>
        <v>228</v>
      </c>
    </row>
    <row r="84" customFormat="false" ht="15" hidden="false" customHeight="true" outlineLevel="0" collapsed="false">
      <c r="A84" s="7" t="s">
        <v>219</v>
      </c>
      <c r="B84" s="43" t="n">
        <f aca="false">IF(B81&gt;0,B80/B81,0)</f>
        <v>7</v>
      </c>
      <c r="C84" s="43" t="n">
        <f aca="false">IF(C81&gt;0,C80/C81,0)</f>
        <v>2.1875</v>
      </c>
    </row>
    <row r="85" customFormat="false" ht="15" hidden="false" customHeight="true" outlineLevel="0" collapsed="false">
      <c r="A85" s="31" t="s">
        <v>230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6" min="2" style="1" width="18"/>
  </cols>
  <sheetData>
    <row r="1" customFormat="false" ht="17.25" hidden="false" customHeight="true" outlineLevel="0" collapsed="false">
      <c r="A1" s="2" t="s">
        <v>231</v>
      </c>
    </row>
    <row r="2" customFormat="false" ht="15" hidden="false" customHeight="true" outlineLevel="0" collapsed="false">
      <c r="A2" s="31" t="s">
        <v>1</v>
      </c>
    </row>
    <row r="3" customFormat="false" ht="15" hidden="false" customHeight="true" outlineLevel="0" collapsed="false">
      <c r="A3" s="31" t="s">
        <v>232</v>
      </c>
    </row>
    <row r="5" customFormat="false" ht="31.5" hidden="false" customHeight="true" outlineLevel="0" collapsed="false">
      <c r="A5" s="32" t="s">
        <v>233</v>
      </c>
      <c r="B5" s="32" t="s">
        <v>234</v>
      </c>
      <c r="C5" s="32" t="s">
        <v>235</v>
      </c>
      <c r="D5" s="32" t="s">
        <v>5</v>
      </c>
    </row>
    <row r="6" customFormat="false" ht="15" hidden="false" customHeight="true" outlineLevel="0" collapsed="false">
      <c r="A6" s="7" t="s">
        <v>236</v>
      </c>
      <c r="B6" s="45" t="n">
        <v>400</v>
      </c>
      <c r="C6" s="46" t="n">
        <f aca="false">B6</f>
        <v>400</v>
      </c>
      <c r="D6" s="31" t="s">
        <v>237</v>
      </c>
    </row>
    <row r="7" customFormat="false" ht="15" hidden="false" customHeight="true" outlineLevel="0" collapsed="false">
      <c r="A7" s="7" t="s">
        <v>238</v>
      </c>
      <c r="B7" s="47" t="n">
        <v>0.25</v>
      </c>
      <c r="C7" s="47" t="n">
        <v>0.35</v>
      </c>
      <c r="D7" s="31" t="s">
        <v>239</v>
      </c>
    </row>
    <row r="8" customFormat="false" ht="15" hidden="false" customHeight="true" outlineLevel="0" collapsed="false">
      <c r="A8" s="7" t="s">
        <v>240</v>
      </c>
      <c r="B8" s="46" t="n">
        <f aca="false">B6*B7</f>
        <v>100</v>
      </c>
      <c r="C8" s="46" t="n">
        <f aca="false">C6*C7</f>
        <v>140</v>
      </c>
    </row>
    <row r="9" customFormat="false" ht="15" hidden="false" customHeight="true" outlineLevel="0" collapsed="false">
      <c r="A9" s="7" t="s">
        <v>241</v>
      </c>
      <c r="B9" s="47" t="n">
        <v>0.2</v>
      </c>
      <c r="C9" s="48" t="n">
        <f aca="false">B9</f>
        <v>0.2</v>
      </c>
      <c r="D9" s="31" t="s">
        <v>242</v>
      </c>
    </row>
    <row r="10" customFormat="false" ht="15" hidden="false" customHeight="true" outlineLevel="0" collapsed="false">
      <c r="A10" s="14" t="s">
        <v>243</v>
      </c>
      <c r="B10" s="49" t="n">
        <f aca="false">B8*B9</f>
        <v>20</v>
      </c>
      <c r="C10" s="49" t="n">
        <f aca="false">C8*C9</f>
        <v>28</v>
      </c>
    </row>
    <row r="11" customFormat="false" ht="15" hidden="false" customHeight="true" outlineLevel="0" collapsed="false">
      <c r="A11" s="7" t="s">
        <v>41</v>
      </c>
      <c r="B11" s="33" t="n">
        <f aca="false">'1. Preço'!B28</f>
        <v>2810</v>
      </c>
      <c r="C11" s="33" t="n">
        <f aca="false">B11</f>
        <v>2810</v>
      </c>
      <c r="D11" s="31" t="s">
        <v>244</v>
      </c>
    </row>
    <row r="12" customFormat="false" ht="15" hidden="false" customHeight="true" outlineLevel="0" collapsed="false">
      <c r="A12" s="14" t="s">
        <v>245</v>
      </c>
      <c r="B12" s="30" t="n">
        <f aca="false">B10*B11</f>
        <v>56200</v>
      </c>
      <c r="C12" s="30" t="n">
        <f aca="false">C10*C11</f>
        <v>78680</v>
      </c>
    </row>
    <row r="13" customFormat="false" ht="15" hidden="false" customHeight="true" outlineLevel="0" collapsed="false">
      <c r="A13" s="14" t="s">
        <v>246</v>
      </c>
      <c r="B13" s="37"/>
      <c r="C13" s="37" t="n">
        <f aca="false">C12-B12</f>
        <v>22480</v>
      </c>
    </row>
    <row r="15" customFormat="false" ht="31.5" hidden="false" customHeight="true" outlineLevel="0" collapsed="false">
      <c r="A15" s="32" t="s">
        <v>247</v>
      </c>
      <c r="B15" s="32" t="s">
        <v>234</v>
      </c>
      <c r="C15" s="32" t="s">
        <v>248</v>
      </c>
      <c r="D15" s="32" t="s">
        <v>5</v>
      </c>
    </row>
    <row r="16" customFormat="false" ht="15" hidden="false" customHeight="true" outlineLevel="0" collapsed="false">
      <c r="A16" s="7" t="s">
        <v>236</v>
      </c>
      <c r="B16" s="46" t="n">
        <f aca="false">B6</f>
        <v>400</v>
      </c>
      <c r="C16" s="46" t="n">
        <f aca="false">B16*2</f>
        <v>800</v>
      </c>
    </row>
    <row r="17" customFormat="false" ht="15" hidden="false" customHeight="true" outlineLevel="0" collapsed="false">
      <c r="A17" s="7" t="s">
        <v>249</v>
      </c>
      <c r="B17" s="45" t="n">
        <v>15</v>
      </c>
      <c r="C17" s="46" t="n">
        <f aca="false">B17</f>
        <v>15</v>
      </c>
      <c r="D17" s="31" t="s">
        <v>250</v>
      </c>
    </row>
    <row r="18" customFormat="false" ht="15" hidden="false" customHeight="true" outlineLevel="0" collapsed="false">
      <c r="A18" s="14" t="s">
        <v>251</v>
      </c>
      <c r="B18" s="49" t="n">
        <f aca="false">B16*B17/60</f>
        <v>100</v>
      </c>
      <c r="C18" s="49" t="n">
        <f aca="false">C16*C17/60</f>
        <v>200</v>
      </c>
      <c r="D18" s="31" t="s">
        <v>252</v>
      </c>
    </row>
    <row r="19" customFormat="false" ht="15" hidden="false" customHeight="true" outlineLevel="0" collapsed="false">
      <c r="A19" s="7" t="s">
        <v>253</v>
      </c>
      <c r="B19" s="45" t="n">
        <v>1</v>
      </c>
      <c r="C19" s="46" t="n">
        <f aca="false">B19</f>
        <v>1</v>
      </c>
    </row>
    <row r="20" customFormat="false" ht="15" hidden="false" customHeight="true" outlineLevel="0" collapsed="false">
      <c r="A20" s="7" t="s">
        <v>254</v>
      </c>
      <c r="B20" s="45" t="n">
        <v>6</v>
      </c>
      <c r="C20" s="46" t="n">
        <f aca="false">B20</f>
        <v>6</v>
      </c>
    </row>
    <row r="21" customFormat="false" ht="15" hidden="false" customHeight="true" outlineLevel="0" collapsed="false">
      <c r="A21" s="7" t="s">
        <v>255</v>
      </c>
      <c r="B21" s="45" t="n">
        <v>22</v>
      </c>
      <c r="C21" s="46" t="n">
        <f aca="false">B21</f>
        <v>22</v>
      </c>
    </row>
    <row r="22" customFormat="false" ht="15" hidden="false" customHeight="true" outlineLevel="0" collapsed="false">
      <c r="A22" s="7" t="s">
        <v>256</v>
      </c>
      <c r="B22" s="46" t="n">
        <f aca="false">B19*B20*B21</f>
        <v>132</v>
      </c>
      <c r="C22" s="46" t="n">
        <f aca="false">C19*C20*C21</f>
        <v>132</v>
      </c>
    </row>
    <row r="23" customFormat="false" ht="15" hidden="false" customHeight="true" outlineLevel="0" collapsed="false">
      <c r="A23" s="14" t="s">
        <v>257</v>
      </c>
      <c r="B23" s="50" t="n">
        <f aca="false">B22-B18</f>
        <v>32</v>
      </c>
      <c r="C23" s="50" t="n">
        <f aca="false">C22-C18</f>
        <v>-68</v>
      </c>
    </row>
    <row r="24" customFormat="false" ht="15" hidden="false" customHeight="true" outlineLevel="0" collapsed="false">
      <c r="A24" s="14" t="s">
        <v>258</v>
      </c>
      <c r="B24" s="14" t="str">
        <f aca="false">IF(B23&gt;=0,"Sim","Não")</f>
        <v>Sim</v>
      </c>
      <c r="C24" s="14" t="str">
        <f aca="false">IF(C23&gt;=0,"Sim","Não")</f>
        <v>Não</v>
      </c>
      <c r="D24" s="31" t="s">
        <v>259</v>
      </c>
    </row>
    <row r="25" customFormat="false" ht="15" hidden="false" customHeight="true" outlineLevel="0" collapsed="false">
      <c r="A25" s="14" t="s">
        <v>260</v>
      </c>
      <c r="B25" s="50" t="n">
        <f aca="false">MAX(0,B23)*60/B17</f>
        <v>128</v>
      </c>
      <c r="C25" s="50" t="n">
        <f aca="false">MAX(0,C23)*60/C17</f>
        <v>0</v>
      </c>
      <c r="D25" s="31" t="s">
        <v>261</v>
      </c>
    </row>
    <row r="26" customFormat="false" ht="31.5" hidden="false" customHeight="true" outlineLevel="0" collapsed="false">
      <c r="A26" s="32" t="s">
        <v>262</v>
      </c>
      <c r="B26" s="32" t="s">
        <v>263</v>
      </c>
      <c r="C26" s="32" t="s">
        <v>264</v>
      </c>
      <c r="D26" s="32" t="s">
        <v>265</v>
      </c>
      <c r="E26" s="32" t="s">
        <v>266</v>
      </c>
      <c r="F26" s="32" t="s">
        <v>267</v>
      </c>
    </row>
    <row r="27" customFormat="false" ht="15" hidden="false" customHeight="true" outlineLevel="0" collapsed="false">
      <c r="A27" s="31" t="s">
        <v>268</v>
      </c>
      <c r="B27" s="45" t="n">
        <v>95</v>
      </c>
      <c r="C27" s="45" t="n">
        <v>88</v>
      </c>
      <c r="D27" s="48" t="n">
        <f aca="false">IF(B27&gt;0,C27/B27,"")</f>
        <v>0.926315789473684</v>
      </c>
      <c r="E27" s="45" t="n">
        <v>12</v>
      </c>
      <c r="F27" s="45" t="n">
        <v>7</v>
      </c>
    </row>
    <row r="28" customFormat="false" ht="15" hidden="false" customHeight="true" outlineLevel="0" collapsed="false">
      <c r="A28" s="51"/>
      <c r="B28" s="45"/>
      <c r="C28" s="45"/>
      <c r="D28" s="48" t="str">
        <f aca="false">IF(B28&gt;0,C28/B28,"")</f>
        <v/>
      </c>
      <c r="E28" s="45"/>
      <c r="F28" s="45"/>
    </row>
    <row r="29" customFormat="false" ht="15" hidden="false" customHeight="true" outlineLevel="0" collapsed="false">
      <c r="A29" s="51"/>
      <c r="B29" s="45"/>
      <c r="C29" s="45"/>
      <c r="D29" s="48" t="str">
        <f aca="false">IF(B29&gt;0,C29/B29,"")</f>
        <v/>
      </c>
      <c r="E29" s="45"/>
      <c r="F29" s="45"/>
    </row>
    <row r="30" customFormat="false" ht="15" hidden="false" customHeight="true" outlineLevel="0" collapsed="false">
      <c r="A30" s="51"/>
      <c r="B30" s="45"/>
      <c r="C30" s="45"/>
      <c r="D30" s="48" t="str">
        <f aca="false">IF(B30&gt;0,C30/B30,"")</f>
        <v/>
      </c>
      <c r="E30" s="45"/>
      <c r="F30" s="45"/>
    </row>
    <row r="31" customFormat="false" ht="15" hidden="false" customHeight="true" outlineLevel="0" collapsed="false">
      <c r="A31" s="51"/>
      <c r="B31" s="45"/>
      <c r="C31" s="45"/>
      <c r="D31" s="48" t="str">
        <f aca="false">IF(B31&gt;0,C31/B31,"")</f>
        <v/>
      </c>
      <c r="E31" s="45"/>
      <c r="F31" s="45"/>
    </row>
    <row r="32" customFormat="false" ht="15" hidden="false" customHeight="true" outlineLevel="0" collapsed="false">
      <c r="A32" s="51"/>
      <c r="B32" s="45"/>
      <c r="C32" s="45"/>
      <c r="D32" s="48" t="str">
        <f aca="false">IF(B32&gt;0,C32/B32,"")</f>
        <v/>
      </c>
      <c r="E32" s="45"/>
      <c r="F32" s="45"/>
    </row>
    <row r="33" customFormat="false" ht="15" hidden="false" customHeight="true" outlineLevel="0" collapsed="false">
      <c r="A33" s="51"/>
      <c r="B33" s="45"/>
      <c r="C33" s="45"/>
      <c r="D33" s="48" t="str">
        <f aca="false">IF(B33&gt;0,C33/B33,"")</f>
        <v/>
      </c>
      <c r="E33" s="45"/>
      <c r="F33" s="45"/>
    </row>
    <row r="34" customFormat="false" ht="15" hidden="false" customHeight="true" outlineLevel="0" collapsed="false">
      <c r="A34" s="51"/>
      <c r="B34" s="45"/>
      <c r="C34" s="45"/>
      <c r="D34" s="48" t="str">
        <f aca="false">IF(B34&gt;0,C34/B34,"")</f>
        <v/>
      </c>
      <c r="E34" s="45"/>
      <c r="F34" s="45"/>
    </row>
    <row r="35" customFormat="false" ht="15" hidden="false" customHeight="true" outlineLevel="0" collapsed="false">
      <c r="A35" s="31" t="s">
        <v>269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2026-10-14T15:31:12Z</dcterms:created>
  <dc:creator>openpyxl</dc:creator>
  <dc:description/>
  <dc:language>en-US</dc:language>
  <cp:lastModifiedBy/>
  <dcterms:modified xsi:type="dcterms:W3CDTF">2026-10-18T13:27:40Z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